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harts/chart4.xml" ContentType="application/vnd.openxmlformats-officedocument.drawingml.char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customUI/images/kCategorie1-32.png" ContentType="image/.png"/>
  <Override PartName="/customUI/images/kImport-32.png" ContentType="image/.png"/>
  <Default Extension="xml" ContentType="application/xml"/>
  <Override PartName="/xl/externalLinks/externalLink5.xml" ContentType="application/vnd.openxmlformats-officedocument.spreadsheetml.externalLink+xml"/>
  <Override PartName="/xl/drawings/drawing2.xml" ContentType="application/vnd.openxmlformats-officedocument.drawing+xml"/>
  <Override PartName="/xl/charts/style2.xml" ContentType="application/vnd.ms-office.chartstyle+xml"/>
  <Override PartName="/xl/worksheets/sheet3.xml" ContentType="application/vnd.openxmlformats-officedocument.spreadsheetml.worksheet+xml"/>
  <Override PartName="/xl/worksheets/sheet69.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charts/chart9.xml" ContentType="application/vnd.openxmlformats-officedocument.drawingml.chart+xml"/>
  <Override PartName="/xl/charts/colors1.xml" ContentType="application/vnd.ms-office.chartcolorstyle+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charts/chart5.xml" ContentType="application/vnd.openxmlformats-officedocument.drawingml.char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xternalLinks/externalLink6.xml" ContentType="application/vnd.openxmlformats-officedocument.spreadsheetml.externalLink+xml"/>
  <Default Extension="jpeg" ContentType="image/jpeg"/>
  <Override PartName="/xl/charts/chart3.xml" ContentType="application/vnd.openxmlformats-officedocument.drawingml.char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charts/chart1.xml" ContentType="application/vnd.openxmlformats-officedocument.drawingml.chart+xml"/>
  <Override PartName="/xl/drawings/drawing3.xml" ContentType="application/vnd.openxmlformats-officedocument.drawing+xml"/>
  <Override PartName="/xl/charts/style1.xml" ContentType="application/vnd.ms-office.chartstyle+xml"/>
  <Override PartName="/docProps/app.xml" ContentType="application/vnd.openxmlformats-officedocument.extended-properties+xml"/>
  <Override PartName="/customUI/images/kControle2-32.png" ContentType="image/.png"/>
  <Override PartName="/customUI/images/kInfo-32.png" ContentType="image/.png"/>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customUI/images/kExport-32.png" ContentType="image/.png"/>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charts/colors2.xml" ContentType="application/vnd.ms-office.chartcolorstyle+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charts/chart8.xml" ContentType="application/vnd.openxmlformats-officedocument.drawingml.chart+xml"/>
  <Override PartName="/xl/ctrlProps/ctrlProp1.xml" ContentType="application/vnd.ms-excel.controlproperties+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customUI/images/kAideSaisie-32.png" ContentType="image/.png"/>
  <Override PartName="/xl/worksheets/sheet11.xml" ContentType="application/vnd.openxmlformats-officedocument.spreadsheetml.worksheet+xml"/>
  <Override PartName="/xl/worksheets/sheet40.xml" ContentType="application/vnd.openxmlformats-officedocument.spreadsheetml.worksheet+xml"/>
  <Override PartName="/xl/charts/chart2.xml" ContentType="application/vnd.openxmlformats-officedocument.drawingml.chart+xml"/>
  <Default Extension="rels" ContentType="application/vnd.openxmlformats-package.relationships+xml"/>
  <Override PartName="/xl/worksheets/sheet5.xml" ContentType="application/vnd.openxmlformats-officedocument.spreadsheetml.worksheet+xml"/>
  <Override PartName="/xl/worksheets/sheet89.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3e3765e5748d4ebb" Type="http://schemas.microsoft.com/office/2006/relationships/ui/extensibility" Target="customUI/customUI.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showInkAnnotation="0" codeName="ThisWorkbook" autoCompressPictures="0"/>
  <bookViews>
    <workbookView xWindow="0" yWindow="0" windowWidth="28800" windowHeight="12300" tabRatio="775" firstSheet="48" activeTab="62"/>
  </bookViews>
  <sheets>
    <sheet name="A_LIRE" sheetId="1" r:id="rId1"/>
    <sheet name="synthese" sheetId="184" state="veryHidden" r:id="rId2"/>
    <sheet name="Page de garde" sheetId="2" r:id="rId3"/>
    <sheet name="Handitorial" sheetId="177" state="hidden" r:id="rId4"/>
    <sheet name="RASSCT" sheetId="178" state="hidden" r:id="rId5"/>
    <sheet name="RASSCT (actions) (2)" sheetId="179" state="hidden" r:id="rId6"/>
    <sheet name="RASSCT (actions) (3)" sheetId="180" state="hidden" r:id="rId7"/>
    <sheet name="RASSCT (actions) (4)" sheetId="181" state="hidden" r:id="rId8"/>
    <sheet name="RASSCT (actions) (5)" sheetId="182" state="hidden" r:id="rId9"/>
    <sheet name="GPEEC" sheetId="183" state="hidden" r:id="rId10"/>
    <sheet name="Sommaire" sheetId="3" r:id="rId11"/>
    <sheet name="Fiche 1.1.0" sheetId="146" r:id="rId12"/>
    <sheet name="IND 1.1.0" sheetId="5" r:id="rId13"/>
    <sheet name="Fiche 1.1.1" sheetId="169" r:id="rId14"/>
    <sheet name="IND 1.1.1" sheetId="7" r:id="rId15"/>
    <sheet name="Fiche 1.1.2" sheetId="148" r:id="rId16"/>
    <sheet name="IND 1.1.2" sheetId="9" r:id="rId17"/>
    <sheet name="Fiche 1.1.3" sheetId="149" r:id="rId18"/>
    <sheet name="IND 1.1.3" sheetId="11" r:id="rId19"/>
    <sheet name="IND 1.1.4" sheetId="96" r:id="rId20"/>
    <sheet name="Fiche 1.2.1" sheetId="150" r:id="rId21"/>
    <sheet name="IND 1.2.1" sheetId="97" r:id="rId22"/>
    <sheet name="Fiche 1.2.2" sheetId="170" r:id="rId23"/>
    <sheet name="IND 1.2.2" sheetId="16" r:id="rId24"/>
    <sheet name="Fiche 1.2.3" sheetId="152" r:id="rId25"/>
    <sheet name="IND 1.2.3" sheetId="18" r:id="rId26"/>
    <sheet name="IND 1.2.4" sheetId="98" r:id="rId27"/>
    <sheet name="Fiche 1.3.1-1.3.2" sheetId="171" r:id="rId28"/>
    <sheet name="IND 1.3.1" sheetId="99" r:id="rId29"/>
    <sheet name="IND 1.3.2" sheetId="22" r:id="rId30"/>
    <sheet name="Fiche 1.4.1-1.4.4" sheetId="172" r:id="rId31"/>
    <sheet name="IND 1.4.1-1.4.4" sheetId="24" r:id="rId32"/>
    <sheet name="Fiche 1.5.0" sheetId="155" r:id="rId33"/>
    <sheet name="IND 1.5.0" sheetId="100" r:id="rId34"/>
    <sheet name="Fiche 1.5.1" sheetId="156" r:id="rId35"/>
    <sheet name="IND 1.5.1" sheetId="28" r:id="rId36"/>
    <sheet name="Fiche 1.5.2" sheetId="157" r:id="rId37"/>
    <sheet name="IND 1.5.2" sheetId="101" r:id="rId38"/>
    <sheet name="Fiche 1.5.3" sheetId="158" r:id="rId39"/>
    <sheet name="IND 1.5.3" sheetId="102" r:id="rId40"/>
    <sheet name="Fiche 1.5.4-1.5.7" sheetId="173" r:id="rId41"/>
    <sheet name="IND 1.5.4-1.5.5" sheetId="103" r:id="rId42"/>
    <sheet name="IND 1.5.6" sheetId="36" r:id="rId43"/>
    <sheet name="IND 1.5.7" sheetId="140" r:id="rId44"/>
    <sheet name="Fiche 1.6.1-1.6.2" sheetId="160" r:id="rId45"/>
    <sheet name="IND 1.6.1" sheetId="104" r:id="rId46"/>
    <sheet name="IND 1.6.2" sheetId="39" r:id="rId47"/>
    <sheet name="IND 1.7.1" sheetId="40" r:id="rId48"/>
    <sheet name="Fiche 2.1.0" sheetId="162" r:id="rId49"/>
    <sheet name="IND 2.1.0" sheetId="132" r:id="rId50"/>
    <sheet name="IND 2.1.1" sheetId="105" r:id="rId51"/>
    <sheet name="IND 2.1.2" sheetId="106" r:id="rId52"/>
    <sheet name="IND 2.1.3" sheetId="107" r:id="rId53"/>
    <sheet name="IND 2.1.4-2.1.6" sheetId="44" r:id="rId54"/>
    <sheet name="IND 2.1.7" sheetId="45" r:id="rId55"/>
    <sheet name="Fiche 2.2.1-2.2.7" sheetId="163" r:id="rId56"/>
    <sheet name="IND 2.2.1-2.2.4" sheetId="47" r:id="rId57"/>
    <sheet name="IND 2.2.5" sheetId="48" r:id="rId58"/>
    <sheet name="IND 2.2.6" sheetId="137" r:id="rId59"/>
    <sheet name="IND 2.2.7" sheetId="138" r:id="rId60"/>
    <sheet name="IND 2.3.1" sheetId="49" r:id="rId61"/>
    <sheet name="Fiche 3.1.1-3.4.3" sheetId="164" r:id="rId62"/>
    <sheet name="IND 3.1.1-3.4.3" sheetId="109" r:id="rId63"/>
    <sheet name="IND 3.4.4" sheetId="110" r:id="rId64"/>
    <sheet name="IND 3.4.5" sheetId="111" r:id="rId65"/>
    <sheet name="IND 4.1.1-4.1.2" sheetId="112" r:id="rId66"/>
    <sheet name="IND 4.1.3" sheetId="56" r:id="rId67"/>
    <sheet name="Fiche 4.1.4-4.1.6" sheetId="165" r:id="rId68"/>
    <sheet name="IND 4.1.4-4.1.7" sheetId="113" r:id="rId69"/>
    <sheet name="IND 4.2.1" sheetId="114" r:id="rId70"/>
    <sheet name="IND 4.2.2" sheetId="115" r:id="rId71"/>
    <sheet name="IND 4.2.3" sheetId="60" r:id="rId72"/>
    <sheet name="IND 4.2.4" sheetId="61" r:id="rId73"/>
    <sheet name="IND 4.2.5" sheetId="143" r:id="rId74"/>
    <sheet name="IND 4.3.1" sheetId="62" r:id="rId75"/>
    <sheet name="Fiche 5.1.1-5.1.4" sheetId="166" r:id="rId76"/>
    <sheet name="IND 5.1.1" sheetId="116" r:id="rId77"/>
    <sheet name="IND 5.1.2" sheetId="117" r:id="rId78"/>
    <sheet name="IND 5.1.3" sheetId="66" r:id="rId79"/>
    <sheet name="IND 5.1.4" sheetId="67" r:id="rId80"/>
    <sheet name="IND 6.1.1-6.1.3" sheetId="68" r:id="rId81"/>
    <sheet name="Fiche 6.1.4" sheetId="167" r:id="rId82"/>
    <sheet name="IND 6.1.4" sheetId="174" r:id="rId83"/>
    <sheet name="Fiche 7.1.1-7.1.4" sheetId="168" r:id="rId84"/>
    <sheet name="IND 7.1.1-7.1.3" sheetId="70" r:id="rId85"/>
    <sheet name="IND 7.1.4" sheetId="144" r:id="rId86"/>
    <sheet name="egalitehf" sheetId="139" state="veryHidden" r:id="rId87"/>
    <sheet name="IND 8.1.0" sheetId="175" r:id="rId88"/>
    <sheet name="Messages_controles" sheetId="133" r:id="rId89"/>
    <sheet name="_paramètre" sheetId="134" state="veryHidden" r:id="rId90"/>
  </sheets>
  <externalReferences>
    <externalReference r:id="rId91"/>
    <externalReference r:id="rId92"/>
    <externalReference r:id="rId93"/>
    <externalReference r:id="rId94"/>
    <externalReference r:id="rId95"/>
    <externalReference r:id="rId96"/>
  </externalReferences>
  <definedNames>
    <definedName name="_____cAF5" localSheetId="1">'[1]2.1.1'!#REF!</definedName>
    <definedName name="_____cAF5">'[2]2.1.1'!#REF!</definedName>
    <definedName name="____cAF5" localSheetId="1">'[1]2.1.1'!#REF!</definedName>
    <definedName name="____cAF5">'[2]2.1.1'!#REF!</definedName>
    <definedName name="___cAF5" localSheetId="1">'[1]2.1.1'!#REF!</definedName>
    <definedName name="___cAF5">'[2]2.1.1'!#REF!</definedName>
    <definedName name="__cAF5" localSheetId="1">'[1]2.1.1'!#REF!</definedName>
    <definedName name="__cAF5">'[2]2.1.1'!#REF!</definedName>
    <definedName name="_cAF5" localSheetId="1">'[3]Fiche 2.1.0'!#REF!</definedName>
    <definedName name="_xlnm._FilterDatabase" localSheetId="1" hidden="1">synthese!$GO$1:$GZ$59</definedName>
    <definedName name="AVerifier" localSheetId="1">'[3]Page de garde'!$G$10</definedName>
    <definedName name="AVerifier">[2]General!$G$10</definedName>
    <definedName name="Bilan_SIRET" localSheetId="1">'[3]Page de garde'!$C$9</definedName>
    <definedName name="Bilan_SIRET">[2]General!$C$9</definedName>
    <definedName name="cANT5" localSheetId="1">'[3]Fiche 2.1.0'!#REF!</definedName>
    <definedName name="cANT5">'[2]2.1.1'!#REF!</definedName>
    <definedName name="Ctrl_1.1.1" localSheetId="1">'[3]IND 1.1.1'!$Q$11</definedName>
    <definedName name="Ctrl_1.1.1">'[2]1.1.1'!$Q$11</definedName>
    <definedName name="Ctrl_1.1.2" localSheetId="1">'[3]Fiche 1.1.2'!$R$11</definedName>
    <definedName name="Ctrl_1.1.2">'[2]1.1.2'!$R$11</definedName>
    <definedName name="Ctrl_1.1.3" localSheetId="1">'[3]Fiche 1.1.3'!$J$35</definedName>
    <definedName name="Ctrl_1.1.3">'[2]1.1.3'!$J$35</definedName>
    <definedName name="Ctrl_1.2.1" localSheetId="1">'[3]IND 1.2.1'!$AC$13</definedName>
    <definedName name="Ctrl_1.2.1">'[2]1.2.1'!$AC$13</definedName>
    <definedName name="Ctrl_1.2.3" localSheetId="1">'[3]Fiche 1.2.3'!$K$26</definedName>
    <definedName name="Ctrl_1.2.3">'[2]1.2.3'!$K$26</definedName>
    <definedName name="Ctrl_1.3.1" localSheetId="1">'[3]IND 1.3.1'!$Q$9</definedName>
    <definedName name="Ctrl_1.3.1">'[2]1.3.1'!$Q$9</definedName>
    <definedName name="Ctrl_1.4.4" localSheetId="1">'[3]Fiche 1.4.1-1.4.4'!$J$6</definedName>
    <definedName name="Ctrl_1.4.4">'[2]1.4.1-1.4.4'!$J$6</definedName>
    <definedName name="Ctrl_1.5.0" localSheetId="1">'[3]Fiche 1.5.0'!$P$9</definedName>
    <definedName name="Ctrl_1.5.0">'[2]1.5.0'!$P$9</definedName>
    <definedName name="Ctrl_1.5.0.1" localSheetId="1">#REF!</definedName>
    <definedName name="Ctrl_1.5.0.1">#REF!</definedName>
    <definedName name="Ctrl_1.5.2" localSheetId="1">'[3]Fiche 1.5.2'!$X$12</definedName>
    <definedName name="Ctrl_1.5.2">'[2]1.5.2'!$X$12</definedName>
    <definedName name="Ctrl_1.6.2" localSheetId="1">#REF!</definedName>
    <definedName name="Ctrl_1.6.2">#REF!</definedName>
    <definedName name="Ctrl_1.7.1" localSheetId="1">'[3]IND 1.7.1'!$S$21</definedName>
    <definedName name="Ctrl_1.7.1">'[2]1.7.1'!$S$21</definedName>
    <definedName name="Ctrl_2.3.L" localSheetId="1">'[3]IND 2.2.1-2.2.4'!$L$5</definedName>
    <definedName name="Ctrl_2.3.L">'[2]2.3.1'!$L$5</definedName>
    <definedName name="Ctrl_3.1_3.2" localSheetId="1">'[3]IND 2.3.1'!$L$6</definedName>
    <definedName name="Ctrl_3.1_3.2">'[2]3.1.1-3.4.2'!$L$6</definedName>
    <definedName name="Ctrl_3.4.L" localSheetId="1">#REF!</definedName>
    <definedName name="Ctrl_3.4.L">#REF!</definedName>
    <definedName name="Ctrl_3.5.L" localSheetId="1">'[3]IND 3.4.3'!$E$6</definedName>
    <definedName name="Ctrl_3.5.L">'[2]3.4.4'!$E$6</definedName>
    <definedName name="Ctrl_6.1.1" localSheetId="1">'[3]IND 4.3.1'!$R$10</definedName>
    <definedName name="Ctrl_6.1.1">'[2]6.1.1'!$R$10</definedName>
    <definedName name="Ctrl_7.1.1_7.1.3" localSheetId="1">'[3]IND 5.1.3'!$F$65</definedName>
    <definedName name="Ctrl_7.1.1_7.1.3">'[2]7.1.1-7.1.3'!$F$65</definedName>
    <definedName name="Ctrl_8.1.1" localSheetId="1">'[3]IND 6.1.1-6.1.3'!$F$3</definedName>
    <definedName name="Ctrl_8.1.1">'[2]8.1.1-8.1.4'!$F$3</definedName>
    <definedName name="CtrlGeneral" localSheetId="1">'[3]Page de garde'!$D$8</definedName>
    <definedName name="CtrlGeneral">[2]General!$D$8</definedName>
    <definedName name="Erreur" localSheetId="1">'[3]Page de garde'!$G$9</definedName>
    <definedName name="Erreur">[2]General!$G$9</definedName>
    <definedName name="_xlnm.Print_Titles" localSheetId="14">'IND 1.1.1'!$10:$16</definedName>
    <definedName name="_xlnm.Print_Titles" localSheetId="21">'IND 1.2.1'!$10:$13</definedName>
    <definedName name="_xlnm.Print_Titles" localSheetId="23">'IND 1.2.2'!$10:$14</definedName>
    <definedName name="_xlnm.Print_Titles" localSheetId="42">'IND 1.5.6'!$4:$6</definedName>
    <definedName name="_xlnm.Print_Titles" localSheetId="63">'IND 3.4.4'!$18:$18</definedName>
    <definedName name="JAC" localSheetId="1">'[3]IND 4.3.1'!$J$16</definedName>
    <definedName name="JAE" localSheetId="1">'[3]IND 4.3.1'!$J$12</definedName>
    <definedName name="JAP" localSheetId="1">'[3]IND 4.3.1'!$J$17</definedName>
    <definedName name="JAS" localSheetId="1">'[3]IND 4.3.1'!$J$14</definedName>
    <definedName name="JBC" localSheetId="1">'[3]IND 4.3.1'!$J$25</definedName>
    <definedName name="JBE" localSheetId="1">'[3]IND 4.3.1'!$J$21</definedName>
    <definedName name="JBP" localSheetId="1">'[3]IND 4.3.1'!$J$26</definedName>
    <definedName name="JBS" localSheetId="1">'[3]IND 4.3.1'!$J$22</definedName>
    <definedName name="JCC" localSheetId="1">'[3]IND 4.3.1'!$J$34</definedName>
    <definedName name="JCE" localSheetId="1">'[3]IND 4.3.1'!$J$30</definedName>
    <definedName name="JCP" localSheetId="1">'[3]IND 4.3.1'!$J$35</definedName>
    <definedName name="JCS" localSheetId="1">'[3]IND 4.3.1'!$J$31</definedName>
    <definedName name="JND" localSheetId="1">'[3]IND 4.3.1'!$J$38</definedName>
    <definedName name="lstChomageContractuel" localSheetId="1">_paramètre!$F$1:$F$4</definedName>
    <definedName name="lstChomageContractuel">_paramètre!$F$1:$F$5</definedName>
    <definedName name="lstChomageTitulaire" localSheetId="1">_paramètre!$E$1:$E$4</definedName>
    <definedName name="lstChomageTitulaire">_paramètre!$E$1:$E$4</definedName>
    <definedName name="lstCollectivite" localSheetId="1">_paramètre!$A$1:$A$22</definedName>
    <definedName name="lstCollectivite">_paramètre!$A$1:$A$22</definedName>
    <definedName name="lstReponse" localSheetId="1">_paramètre!$C$1:$C$4</definedName>
    <definedName name="lstReponse">_paramètre!$C$1:$C$4</definedName>
    <definedName name="lstReponse2" localSheetId="1">_paramètre!$D$1:$D$4</definedName>
    <definedName name="lstReponse2">_paramètre!$D$1:$D$4</definedName>
    <definedName name="Message_erreur" localSheetId="1">#REF!</definedName>
    <definedName name="Message_erreur">Messages_controles!$A$5:$A$500</definedName>
    <definedName name="NbCarINSEE" localSheetId="1">'[3]Page de garde'!$D$11</definedName>
    <definedName name="NbCarINSEE">[2]General!$D$11</definedName>
    <definedName name="Ok" localSheetId="1">'[3]Page de garde'!$G$8</definedName>
    <definedName name="Ok">[2]General!$G$8</definedName>
    <definedName name="PdG_CodeCollectivite" localSheetId="1">'Page de garde'!#REF!</definedName>
    <definedName name="PdG_CodeCollectivite">#REF!</definedName>
    <definedName name="PdG_CollectiviteBILAN_NON">'[4]Page de garde'!$AA$39</definedName>
    <definedName name="PdG_CollectiviteBILAN_OUI">'[4]Page de garde'!$Y$39</definedName>
    <definedName name="PdG_CollectiviteCTP_NON" localSheetId="1">'[4]Page de garde'!$AA$41</definedName>
    <definedName name="PdG_CollectiviteCTP_OUI" localSheetId="1">'[4]Page de garde'!$Y$41</definedName>
    <definedName name="PdG_CollectiviteGEST_NON" localSheetId="1">'[4]Page de garde'!$AA$39</definedName>
    <definedName name="PdG_CollectiviteGEST_OUI" localSheetId="1">'[4]Page de garde'!$Y$39</definedName>
    <definedName name="PdG_Departement" localSheetId="1">'[4]Page de garde'!$F$8</definedName>
    <definedName name="PdG_Siret" localSheetId="1">'[4]Page de garde'!$N$26</definedName>
    <definedName name="siret" localSheetId="1">'[5]#REF'!#REF!</definedName>
    <definedName name="siret">'[5]#REF'!#REF!</definedName>
    <definedName name="TABLE_29">'[6]Fiche 1.6.1-1.6'!$A$15:$H$35</definedName>
    <definedName name="Val_110A_Col">'IND 1.1.0'!$L$13:$L$21</definedName>
    <definedName name="Val_110A_Lig1">'IND 1.1.0'!$B$22:$K$22</definedName>
    <definedName name="Val_110A_Lig2">'IND 1.1.0'!$B$23:$K$23</definedName>
    <definedName name="Val_110B_Col">'IND 1.1.0'!$L$28:$L$36</definedName>
    <definedName name="Val_110B_Lig1">'IND 1.1.0'!$B$37:$K$37</definedName>
    <definedName name="Val_110B_Lig2">'IND 1.1.0'!$B$38:$K$38</definedName>
    <definedName name="Val_110C_Col">'IND 1.1.0'!$D$43:$D$51</definedName>
    <definedName name="Val_110C_Lig">'IND 1.1.0'!$B$52:$C$52</definedName>
    <definedName name="Val_111A_Col">'IND 1.1.1'!$J$19:$J$376</definedName>
    <definedName name="Val_111A_Lig">'IND 1.1.1'!$B$17:$F$17</definedName>
    <definedName name="Val_111B_Col">'IND 1.1.1'!$J$19:$J$376</definedName>
    <definedName name="Val_111B_Lig">'IND 1.1.1'!$G$17:$I$17</definedName>
    <definedName name="Val_112_Col">'IND 1.1.2'!$L$14:$L$90</definedName>
    <definedName name="Val_112_Lig1">'IND 1.1.2'!$B$8:$K$8</definedName>
    <definedName name="Val_112_Lig2">'IND 1.1.2'!$B$13:$K$13</definedName>
    <definedName name="Val_113_Col1">'IND 1.1.3'!$E$9:$E$17</definedName>
    <definedName name="Val_113_Col2">'IND 1.1.3'!$F$9:$F$17</definedName>
    <definedName name="Val_113_Lig">'IND 1.1.3'!$C$6:$D$6</definedName>
    <definedName name="Val_114_Col" localSheetId="1">'IND 1.1.4'!#REF!</definedName>
    <definedName name="Val_114_Col">#REF!</definedName>
    <definedName name="Val_114_Col1">'IND 1.1.4'!$E$32:$E$73</definedName>
    <definedName name="Val_114_Col2">'IND 1.1.4'!$F$32:$F$72</definedName>
    <definedName name="Val_114_Lig">'IND 1.1.4'!$C$28:$D$28</definedName>
    <definedName name="Val_114_Lig1" localSheetId="1">'IND 1.1.4'!#REF!</definedName>
    <definedName name="Val_114_Lig1">#REF!</definedName>
    <definedName name="Val_114_Lig2" localSheetId="1">'IND 1.1.4'!#REF!</definedName>
    <definedName name="Val_114_Lig2">#REF!</definedName>
    <definedName name="Val_121A_Col" localSheetId="21">'IND 1.2.1'!$U$15:$U$91</definedName>
    <definedName name="Val_121A_Lig" localSheetId="21">'IND 1.2.1'!$B$14:$K$14</definedName>
    <definedName name="Val_121B_Col" localSheetId="21">'IND 1.2.1'!$U$15:$U$91</definedName>
    <definedName name="Val_121B_Lig" localSheetId="21">'IND 1.2.1'!$L$14:$M$14</definedName>
    <definedName name="Val_121C_Col" localSheetId="21">'IND 1.2.1'!$U$15:$U$91</definedName>
    <definedName name="Val_121C_Lig" localSheetId="21">'IND 1.2.1'!$N$14:$P$14</definedName>
    <definedName name="Val_121D_Col" localSheetId="21">'IND 1.2.1'!$U$15:$U$91</definedName>
    <definedName name="Val_121D_Lig" localSheetId="21">'IND 1.2.1'!$Q$14:$T$14</definedName>
    <definedName name="Val_122_Col">'IND 1.2.2'!$L$15:$L$91</definedName>
    <definedName name="Val_122_Lig1">'IND 1.2.2'!$B$9:$K$9</definedName>
    <definedName name="Val_122_Lig2">'IND 1.2.2'!$B$14:$K$14</definedName>
    <definedName name="Val_123_Col1">'IND 1.2.3'!$E$9:$E$17</definedName>
    <definedName name="Val_123_Col2">'IND 1.2.3'!$F$9:$F$17</definedName>
    <definedName name="Val_123_Lig">'IND 1.2.3'!$C$6:$D$6</definedName>
    <definedName name="Val_124_Col" localSheetId="1">'IND 1.2.4'!#REF!</definedName>
    <definedName name="Val_124_Col">#REF!</definedName>
    <definedName name="Val_124_Col1">'IND 1.2.4'!$E$31:$E$71</definedName>
    <definedName name="Val_124_Col2">'IND 1.2.4'!$F$31:$F$71</definedName>
    <definedName name="Val_124_Lig">'IND 1.2.4'!$C$27:$D$27</definedName>
    <definedName name="Val_124_Lig1" localSheetId="1">'IND 1.2.4'!#REF!</definedName>
    <definedName name="Val_124_Lig1">#REF!</definedName>
    <definedName name="Val_124_Lig2" localSheetId="1">'IND 1.2.4'!#REF!</definedName>
    <definedName name="Val_124_Lig2">#REF!</definedName>
    <definedName name="Val_131A_Col">'IND 1.3.1'!$K$16:$K$38</definedName>
    <definedName name="Val_131A_Lig1">'IND 1.3.1'!$D$12:$J$12</definedName>
    <definedName name="Val_131A_Lig2">'IND 1.3.1'!$D$15:$J$15</definedName>
    <definedName name="Val_131B_Col" localSheetId="1">'IND 1.3.1'!#REF!</definedName>
    <definedName name="Val_131B_Col">'IND 1.3.1'!$G$61:$G$83</definedName>
    <definedName name="Val_131B_Lig">'IND 1.3.1'!$D$60:$F$60</definedName>
    <definedName name="Val_131B_Lig1" localSheetId="1">'IND 1.3.1'!#REF!</definedName>
    <definedName name="Val_131B_Lig1">#REF!</definedName>
    <definedName name="Val_131B_Lig2" localSheetId="1">'IND 1.3.1'!#REF!</definedName>
    <definedName name="Val_131B_Lig2">#REF!</definedName>
    <definedName name="Val_132_Col" localSheetId="1">'IND 1.3.2'!#REF!</definedName>
    <definedName name="Val_132_Col">'IND 1.3.2'!$G$14:$G$26</definedName>
    <definedName name="Val_132_Lig1">'IND 1.3.2'!$B$10:$F$10</definedName>
    <definedName name="Val_132_Lig2">'IND 1.3.2'!$B$13:$F$13</definedName>
    <definedName name="Val_141_Col">'IND 1.4.1-1.4.4'!$E$10:$E$32</definedName>
    <definedName name="Val_141_Lig">'IND 1.4.1-1.4.4'!$B$8:$D$8</definedName>
    <definedName name="Val_142_Col">'IND 1.4.1-1.4.4'!$H$41:$H$44</definedName>
    <definedName name="Val_142_Lig1">'IND 1.4.1-1.4.4'!$B$45:$G$45</definedName>
    <definedName name="Val_142_Lig2">'IND 1.4.1-1.4.4'!$B$40:$G$40</definedName>
    <definedName name="Val_143_Col">'IND 1.4.1-1.4.4'!$F$52:$F$53</definedName>
    <definedName name="Val_143_Lig1">'IND 1.4.1-1.4.4'!$B$54:$E$54</definedName>
    <definedName name="Val_143_Lig2">'IND 1.4.1-1.4.4'!$B$49:$E$49</definedName>
    <definedName name="Val_144_Col">'IND 1.4.1-1.4.4'!$E$62:$E$65</definedName>
    <definedName name="Val_144_Lig">'IND 1.4.1-1.4.4'!$B$60:$D$60</definedName>
    <definedName name="Val_150A_Col">'IND 1.5.0'!$K$21:$K$41</definedName>
    <definedName name="Val_150A_Lig1">'IND 1.5.0'!$C$42:$J$42</definedName>
    <definedName name="Val_150A_Lig2">'IND 1.5.0'!$C$18:$J$18</definedName>
    <definedName name="Val_150B_Col" localSheetId="1">'IND 1.5.0'!#REF!</definedName>
    <definedName name="Val_150B_Col">'IND 1.5.0'!$K$51:$K$65</definedName>
    <definedName name="Val_150B_Lig1" localSheetId="1">'IND 1.5.0'!#REF!</definedName>
    <definedName name="Val_150B_Lig1">'IND 1.5.0'!$C$66:$J$66</definedName>
    <definedName name="Val_150B_Lig2" localSheetId="1">'IND 1.5.0'!#REF!</definedName>
    <definedName name="Val_150B_Lig2">'IND 1.5.0'!$C$48:$J$48</definedName>
    <definedName name="Val_151A_Col">'IND 1.5.1'!$L$13:$L$21</definedName>
    <definedName name="Val_151A_Lig1">'IND 1.5.1'!$B$22:$K$22</definedName>
    <definedName name="Val_151A_Lig2">'IND 1.5.1'!$B$12:$K$12</definedName>
    <definedName name="Val_151B_Col">'IND 1.5.1'!$L$29:$L$37</definedName>
    <definedName name="Val_151B_Lig1">'IND 1.5.1'!$B$38:$K$38</definedName>
    <definedName name="Val_151B_Lig2">'IND 1.5.1'!$B$28:$K$28</definedName>
    <definedName name="Val_151C_Col">'IND 1.5.1'!$D$45:$D$53</definedName>
    <definedName name="Val_151C_Lig">'IND 1.5.1'!$B$44:$C$44</definedName>
    <definedName name="Val_152A_Col" localSheetId="1">'IND 1.5.2'!#REF!</definedName>
    <definedName name="Val_152A_Col">'IND 1.5.2'!$X$17:$X$93</definedName>
    <definedName name="Val_152A_Lig">'IND 1.5.2'!$B$10:$S$10</definedName>
    <definedName name="Val_152B_Col" localSheetId="1">'IND 1.5.2'!#REF!</definedName>
    <definedName name="Val_152B_Col">'IND 1.5.2'!$X$17:$X$93</definedName>
    <definedName name="Val_152B_Lig1">'IND 1.5.2'!$T$10:$W$10</definedName>
    <definedName name="Val_152B_Lig2" localSheetId="1">'IND 1.5.2'!#REF!</definedName>
    <definedName name="Val_152B_Lig2">'IND 1.5.2'!$T$16:$W$16</definedName>
    <definedName name="Val_153_Col">'IND 1.5.3'!$G$12:$G$98</definedName>
    <definedName name="Val_153_Lig1">'IND 1.5.3'!$B$100:$F$100</definedName>
    <definedName name="Val_153_Lig2">'IND 1.5.3'!$B$99:$F$99</definedName>
    <definedName name="Val_154_Col" localSheetId="1">'IND 1.5.4-1.5.5'!#REF!</definedName>
    <definedName name="Val_154_Col">'IND 1.5.4-1.5.5'!$D$12:$D$18</definedName>
    <definedName name="Val_154_Lig" localSheetId="1">'IND 1.5.4-1.5.5'!#REF!</definedName>
    <definedName name="Val_154_Lig">'IND 1.5.4-1.5.5'!$B$10:$C$10</definedName>
    <definedName name="Val_155_Col">'IND 1.5.4-1.5.5'!$D$26:$D$36</definedName>
    <definedName name="Val_155_Lig">'IND 1.5.4-1.5.5'!$B$24:$C$24</definedName>
    <definedName name="Val_156_Col" localSheetId="1">'IND 1.5.4-1.5.5'!#REF!</definedName>
    <definedName name="Val_156_Col">'IND 1.5.6'!$H$12:$H$23</definedName>
    <definedName name="Val_156_Lig" localSheetId="1">'IND 1.5.4-1.5.5'!#REF!</definedName>
    <definedName name="Val_156_Lig">#REF!</definedName>
    <definedName name="Val_156_Lig1">'IND 1.5.6'!$B$7:$G$7</definedName>
    <definedName name="Val_156_Lig2">'IND 1.5.6'!$B$11:$G$11</definedName>
    <definedName name="Val_157_Col" localSheetId="1">'IND 1.5.6'!#REF!</definedName>
    <definedName name="Val_157_Col">'IND 1.5.7'!$D$8:$D$10</definedName>
    <definedName name="Val_157_Lig">'IND 1.5.7'!$B$6:$C$6</definedName>
    <definedName name="Val_157_Lig2" localSheetId="1">'IND 1.5.6'!#REF!</definedName>
    <definedName name="Val_157_Lig2">#REF!</definedName>
    <definedName name="Val_161_Lig1" localSheetId="45">'IND 1.6.1'!$B$13:$E$13</definedName>
    <definedName name="Val_161A_Col">'IND 1.6.1'!$F$17:$F$19</definedName>
    <definedName name="Val_161A_Lig1">'IND 1.6.1'!$B$13:$E$13</definedName>
    <definedName name="Val_161A_Lig2">'IND 1.6.1'!$B$12:$E$12</definedName>
    <definedName name="Val_161B_Lig1">'IND 1.6.1'!$B$23:$E$23</definedName>
    <definedName name="Val_161B_Lig2">'IND 1.6.1'!$B$22:$E$22</definedName>
    <definedName name="Val_171_Col1">'IND 1.7.1'!$F$13:$F$47</definedName>
    <definedName name="Val_171_Col2">'IND 1.7.1'!$G$13:$G$47</definedName>
    <definedName name="Val_171_Lig">'IND 1.7.1'!$C$12:$E$12</definedName>
    <definedName name="Val_211A_Col">'IND 2.1.1'!$J$15:$J$24</definedName>
    <definedName name="Val_211A_Lig">'IND 2.1.1'!$D$14:$E$14</definedName>
    <definedName name="Val_211B_Col">'IND 2.1.1'!$O$39:$O$45</definedName>
    <definedName name="Val_211B_Lig">'IND 2.1.1'!$D$38:$N$38</definedName>
    <definedName name="Val_211C_Col">'IND 2.1.1'!$O$55:$O$61</definedName>
    <definedName name="Val_211C_Lig">'IND 2.1.1'!$D$54:$N$54</definedName>
    <definedName name="Val_212A_Col">'IND 2.1.2'!$J$15:$J$24</definedName>
    <definedName name="Val_212A_Lig">'IND 2.1.2'!$D$14:$E$14</definedName>
    <definedName name="Val_212B_Col">'IND 2.1.2'!$O$37:$O$43</definedName>
    <definedName name="Val_212B_Lig">'IND 2.1.2'!$D$36:$N$36</definedName>
    <definedName name="Val_212C_Col">'IND 2.1.2'!$O$52:$O$58</definedName>
    <definedName name="Val_212C_Lig">'IND 2.1.2'!$D$51:$N$51</definedName>
    <definedName name="Val_213A_Col">'IND 2.1.3'!$J$16:$J$25</definedName>
    <definedName name="Val_213A_Lig">'IND 2.1.3'!$D$15:$E$15</definedName>
    <definedName name="Val_213B_Col">'IND 2.1.3'!$O$39:$O$45</definedName>
    <definedName name="Val_213B_Lig">'IND 2.1.3'!$D$38:$N$38</definedName>
    <definedName name="Val_213C_Col">'IND 2.1.3'!$O$54:$O$60</definedName>
    <definedName name="Val_213C_Lig">'IND 2.1.3'!$D$53:$N$53</definedName>
    <definedName name="Val_214_Col">'IND 2.1.4-2.1.6'!$D$11:$D$13</definedName>
    <definedName name="Val_215_Col">'IND 2.1.4-2.1.6'!$D$23:$D$25</definedName>
    <definedName name="Val_215A_Col" localSheetId="1">'IND 2.1.7'!#REF!</definedName>
    <definedName name="Val_215A_Col">#REF!</definedName>
    <definedName name="Val_215A_Lig" localSheetId="1">'IND 2.1.7'!#REF!</definedName>
    <definedName name="Val_215A_Lig">#REF!</definedName>
    <definedName name="Val_215B_Col" localSheetId="1">'IND 2.1.7'!#REF!</definedName>
    <definedName name="Val_215B_Col">#REF!</definedName>
    <definedName name="Val_215B_Lig" localSheetId="1">'IND 2.1.7'!#REF!</definedName>
    <definedName name="Val_215B_Lig">#REF!</definedName>
    <definedName name="Val_216_Col">'IND 2.1.4-2.1.6'!$D$35:$D$37</definedName>
    <definedName name="Val_217A_Col1">'IND 2.1.7'!$H$9:$H$13</definedName>
    <definedName name="Val_217A_Col2">'IND 2.1.7'!$I$9:$I$13</definedName>
    <definedName name="Val_217B_Col1">'IND 2.1.7'!$H$16:$H$20</definedName>
    <definedName name="Val_217B_Col2">'IND 2.1.7'!$I$16:$I$20</definedName>
    <definedName name="Val_221_Col">'IND 2.2.1-2.2.4'!$G$14:$G$21</definedName>
    <definedName name="Val_221_Lig" localSheetId="1">'IND 2.2.1-2.2.4'!#REF!</definedName>
    <definedName name="Val_221_Lig">'IND 2.2.1-2.2.4'!$D$22:$F$22</definedName>
    <definedName name="Val_222_Col">'IND 2.2.1-2.2.4'!$G$36:$G$39</definedName>
    <definedName name="Val_222_Lig">'IND 2.2.1-2.2.4'!$D$40:$F$40</definedName>
    <definedName name="Val_223A_Col">'IND 2.2.1-2.2.4'!$I$49:$I$52</definedName>
    <definedName name="Val_223A_Lig1">'IND 2.2.1-2.2.4'!$C$53:$H$53</definedName>
    <definedName name="Val_223A_Lig2">'IND 2.2.1-2.2.4'!$C$54:$H$54</definedName>
    <definedName name="Val_223B_Col">'IND 2.2.1-2.2.4'!$I$59:$I$62</definedName>
    <definedName name="Val_223B_Lig1">'IND 2.2.1-2.2.4'!$C$63:$H$63</definedName>
    <definedName name="Val_223B_Lig2">'IND 2.2.1-2.2.4'!$C$64:$H$64</definedName>
    <definedName name="Val_223C_Col">'IND 2.2.1-2.2.4'!$K$69:$K$72</definedName>
    <definedName name="Val_223C_Lig1">'IND 2.2.1-2.2.4'!$C$73:$J$73</definedName>
    <definedName name="Val_223C_Lig2">'IND 2.2.1-2.2.4'!$C$74:$J$74</definedName>
    <definedName name="Val_224_Lig1">'IND 2.2.1-2.2.4'!$B$91:$G$91</definedName>
    <definedName name="Val_224_Lig2">'IND 2.2.1-2.2.4'!$B$90:$G$90</definedName>
    <definedName name="Val_226A_Col">'IND 2.2.6'!$I$10:$I$14</definedName>
    <definedName name="Val_226A_Lig1">'IND 2.2.6'!$B$15:$H$15</definedName>
    <definedName name="Val_226A_Lig2">'IND 2.2.6'!$B$16:$H$16</definedName>
    <definedName name="Val_226B_Col">'IND 2.2.6'!$I$19:$I$23</definedName>
    <definedName name="Val_226B_Lig1">'IND 2.2.6'!$B$24:$H$24</definedName>
    <definedName name="Val_226B_Lig2">'IND 2.2.6'!$B$25:$H$25</definedName>
    <definedName name="Val_226C_Col">'IND 2.2.6'!$I$28:$I$32</definedName>
    <definedName name="Val_226C_Lig1">'IND 2.2.6'!$B$33:$H$33</definedName>
    <definedName name="Val_226C_Lig2">'IND 2.2.6'!$B$34:$H$34</definedName>
    <definedName name="Val_231_Col">'IND 2.3.1'!$F$7:$F$11</definedName>
    <definedName name="Val_231_Lig">'IND 2.3.1'!$C$5:$E$5</definedName>
    <definedName name="Val_311_Col1">'IND 3.1.1-3.4.3'!$N$19:$N$58</definedName>
    <definedName name="Val_311_Col2">'IND 3.1.1-3.4.3'!$O$19:$O$58</definedName>
    <definedName name="Val_311_Lig1">'IND 3.1.1-3.4.3'!$B$59:$M$59</definedName>
    <definedName name="Val_311_Lig2">'IND 3.1.1-3.4.3'!$B$60:$M$60</definedName>
    <definedName name="Val_321_Col1">'IND 3.1.1-3.4.3'!$H$67:$H$106</definedName>
    <definedName name="Val_321_Col2">'IND 3.1.1-3.4.3'!$I$67:$I$106</definedName>
    <definedName name="Val_321_Lig1">'IND 3.1.1-3.4.3'!$B$107:$G$107</definedName>
    <definedName name="Val_321_Lig2">'IND 3.1.1-3.4.3'!$B$108:$G$108</definedName>
    <definedName name="Val_331_Col">'IND 3.1.1-3.4.3'!$F$119:$F$122</definedName>
    <definedName name="Val_331_Lig">'IND 3.1.1-3.4.3'!$D$123:$E$123</definedName>
    <definedName name="Val_343_Col" localSheetId="63">'IND 3.4.4'!$D$20:$D$86</definedName>
    <definedName name="Val_344_Col">'IND 3.4.4'!$N$20:$N$86</definedName>
    <definedName name="Val_344_Lig1">'IND 3.4.4'!$B$90:$M$90</definedName>
    <definedName name="Val_344_Lig2">'IND 3.4.4'!$B$91:$M$91</definedName>
    <definedName name="Val_344_Lig3">'IND 3.4.4'!$B$92:$M$92</definedName>
    <definedName name="Val_344_Lig4">'IND 3.4.4'!$B$93:$M$93</definedName>
    <definedName name="Val_361_Lig" localSheetId="63">'IND 3.4.4'!$C$19:$C$86</definedName>
    <definedName name="Val_411_Col">'IND 4.1.1-4.1.2'!$C$9:$C$13</definedName>
    <definedName name="Val_412_Col">'IND 4.1.1-4.1.2'!$E$26:$E$30</definedName>
    <definedName name="Val_413_Lig">'IND 4.1.3'!$C$9:$D$9</definedName>
    <definedName name="Val_421B_Col">'IND 4.2.1'!$O$25:$O$101</definedName>
    <definedName name="Val_421B_Lig1">'IND 4.2.1'!$C$24:$J$24</definedName>
    <definedName name="Val_421B_Lig2">'IND 4.2.1'!$C$16:$J$16</definedName>
    <definedName name="Val_421C_Col">'IND 4.2.1'!$O$25:$O$101</definedName>
    <definedName name="Val_421C_Lig1">'IND 4.2.1'!$K$24:$N$24</definedName>
    <definedName name="Val_421C_Lig2">'IND 4.2.1'!$K$16:$N$16</definedName>
    <definedName name="Val_422_Col">'IND 4.2.2'!$K$16:$K$92</definedName>
    <definedName name="Val_422_Lig1">'IND 4.2.2'!$C$11:$J$11</definedName>
    <definedName name="Val_422_Lig2">'IND 4.2.2'!$C$10:$J$10</definedName>
    <definedName name="Val_423_Col">'IND 4.2.3'!$E$10:$E$33</definedName>
    <definedName name="Val_423_Lig">'IND 4.2.3'!$C$8:$D$8</definedName>
    <definedName name="Val_424_Col">'IND 4.2.4'!$H$7:$H$8</definedName>
    <definedName name="Val_424_Lig1">'IND 4.2.4'!$B$9:$G$9</definedName>
    <definedName name="Val_424_Lig2">'IND 4.2.4'!$B$4:$G$4</definedName>
    <definedName name="Val_431A_Col">'IND 4.3.1'!$D$12:$D$16</definedName>
    <definedName name="Val_431A_Lig">'IND 4.3.1'!$B$53:$C$53</definedName>
    <definedName name="Val_431B_Col">'IND 4.3.1'!$D$24:$D$28</definedName>
    <definedName name="Val_431B_Lig">'IND 4.3.1'!$B$53:$C$53</definedName>
    <definedName name="Val_431C_Col">'IND 4.3.1'!$D$36:$D$40</definedName>
    <definedName name="Val_431C_Lig">'IND 4.3.1'!$B$53:$C$53</definedName>
    <definedName name="Val_431D_Col">'IND 4.3.1'!$D$48:$D$52</definedName>
    <definedName name="Val_431D_Lig">'IND 4.3.1'!$B$53:$C$53</definedName>
    <definedName name="Val_511A_Col">'IND 5.1.1'!$G$12:$G$15</definedName>
    <definedName name="Val_511A_Lig1">'IND 5.1.1'!$B$16:$F$16</definedName>
    <definedName name="Val_511A_Lig2">'IND 5.1.1'!$B$9:$F$9</definedName>
    <definedName name="Val_511B_Col1">'IND 5.1.1'!$L$29:$L$55</definedName>
    <definedName name="Val_511B_Col2">'IND 5.1.1'!$M$29:$M$55</definedName>
    <definedName name="Val_511B_Lig">'IND 5.1.1'!$B$28:$G$28</definedName>
    <definedName name="Val_511C_Col1">'IND 5.1.1'!$L$29:$L$55</definedName>
    <definedName name="Val_511C_Col2">'IND 5.1.1'!$M$29:$M$55</definedName>
    <definedName name="Val_511C_Lig">'IND 5.1.1'!$H$28:$K$28</definedName>
    <definedName name="Val_511D_Col1">'IND 5.1.1'!$L$63:$L$89</definedName>
    <definedName name="Val_511D_Col2">'IND 5.1.1'!$M$63:$M$89</definedName>
    <definedName name="Val_511D_Lig">'IND 5.1.1'!$B$62:$G$62</definedName>
    <definedName name="Val_511E_Col1">'IND 5.1.1'!$L$63:$L$89</definedName>
    <definedName name="Val_511E_Col2">'IND 5.1.1'!$M$63:$M$89</definedName>
    <definedName name="Val_511E_Lig">'IND 5.1.1'!$H$62:$K$62</definedName>
    <definedName name="Val_512A_Col">'IND 5.1.2'!$L$15:$L$25</definedName>
    <definedName name="Val_512A_Lig">'IND 5.1.2'!$B$14:$G$14</definedName>
    <definedName name="Val_512B_Col">'IND 5.1.2'!$L$15:$L$25</definedName>
    <definedName name="Val_512B_Lig">'IND 5.1.2'!$H$14:$K$14</definedName>
    <definedName name="Val_512C_Col">'IND 5.1.2'!$F$36:$F$46</definedName>
    <definedName name="Val_512C_Lig">'IND 5.1.2'!$B$47:$E$47</definedName>
    <definedName name="Val_513_Col">'IND 5.1.3'!$G$13:$G$19</definedName>
    <definedName name="Val_513_Lig1">'IND 5.1.3'!$B$20:$F$20</definedName>
    <definedName name="Val_513_Lig2">'IND 5.1.3'!$B$8:$F$8</definedName>
    <definedName name="Val_514_Col">'IND 5.1.4'!$D$11:$D$15</definedName>
    <definedName name="Val_612_Col">'IND 6.1.1-6.1.3'!$C$38:$C$48</definedName>
    <definedName name="Val_613_Col" localSheetId="1">'IND 6.1.1-6.1.3'!#REF!</definedName>
    <definedName name="Val_613_Col">'IND 6.1.1-6.1.3'!$C$59:$C$62</definedName>
    <definedName name="Val_613_Lig" localSheetId="1">'IND 6.1.1-6.1.3'!#REF!</definedName>
    <definedName name="Val_613_Lig">#REF!</definedName>
    <definedName name="Val_614_Col" localSheetId="87">#REF!</definedName>
    <definedName name="Val_614_Col" localSheetId="1">#REF!</definedName>
    <definedName name="Val_614_Col">#REF!</definedName>
    <definedName name="Val_614_Lig" localSheetId="87">#REF!</definedName>
    <definedName name="Val_614_Lig" localSheetId="1">#REF!</definedName>
    <definedName name="Val_614_Lig">#REF!</definedName>
    <definedName name="Val_614A_Col">'IND 6.1.4'!$D$11:$D$24</definedName>
    <definedName name="Val_614A_Lig">'IND 6.1.4'!$B$8:$C$8</definedName>
    <definedName name="Val_614B_Col">'IND 6.1.4'!$D$29:$D$33</definedName>
    <definedName name="Val_614B_Lig">'IND 6.1.4'!$B$8:$C$8</definedName>
    <definedName name="Val_614C_Col">'IND 6.1.4'!$D$38:$D$41</definedName>
    <definedName name="Val_614C_Lig">'IND 6.1.4'!$B$8:$C$8</definedName>
    <definedName name="Val_614D_Col">'IND 6.1.4'!$D$46:$D$56</definedName>
    <definedName name="Val_614D_Lig">'IND 6.1.4'!$B$8:$C$8</definedName>
    <definedName name="Val_712_Lig" localSheetId="1">'IND 6.1.1-6.1.3'!#REF!</definedName>
    <definedName name="Val_712_Lig">#REF!</definedName>
    <definedName name="Val_713_Col" localSheetId="1">'IND 6.1.1-6.1.3'!#REF!</definedName>
    <definedName name="Val_713_Col">#REF!</definedName>
    <definedName name="Val_713_Lig" localSheetId="1">'IND 6.1.1-6.1.3'!#REF!</definedName>
    <definedName name="Val_713_Lig">#REF!</definedName>
    <definedName name="Val_714A_Lig">'IND 7.1.4'!$B$13:$C$13</definedName>
    <definedName name="Val_714B_Col">'IND 7.1.4'!$D$16:$D$27</definedName>
    <definedName name="Val_714B_Lig">'IND 7.1.4'!$B$13:$C$13</definedName>
    <definedName name="Valeur_110A">'IND 1.1.0'!$B$13:$K$21</definedName>
    <definedName name="Valeur_110B">'IND 1.1.0'!$B$28:$K$36</definedName>
    <definedName name="Valeur_110C">'IND 1.1.0'!$B$43:$C$51</definedName>
    <definedName name="Valeur_111A">'IND 1.1.1'!$B$19:$F$376</definedName>
    <definedName name="Valeur_111B">'IND 1.1.1'!$G$19:$I$376</definedName>
    <definedName name="Valeur_112">'IND 1.1.2'!$B$14:$K$90</definedName>
    <definedName name="Valeur_113">'IND 1.1.3'!$C$9:$D$17</definedName>
    <definedName name="Valeur_114" localSheetId="1">'IND 1.1.4'!#REF!</definedName>
    <definedName name="Valeur_114">'IND 1.1.4'!$C$32:$D$72</definedName>
    <definedName name="Valeur_121A" localSheetId="21">'IND 1.2.1'!$B$15:$K$91</definedName>
    <definedName name="Valeur_121B" localSheetId="21">'IND 1.2.1'!$L$15:$M$91</definedName>
    <definedName name="Valeur_121C" localSheetId="21">'IND 1.2.1'!$N$15:$P$91</definedName>
    <definedName name="Valeur_121D" localSheetId="21">'IND 1.2.1'!$Q$15:$T$91</definedName>
    <definedName name="Valeur_122">'IND 1.2.2'!$B$15:$K$91</definedName>
    <definedName name="Valeur_123">'IND 1.2.3'!$C$9:$D$17</definedName>
    <definedName name="Valeur_124" localSheetId="1">'IND 1.2.4'!#REF!</definedName>
    <definedName name="Valeur_124">'IND 1.2.4'!$C$31:$D$71</definedName>
    <definedName name="Valeur_131A">'IND 1.3.1'!$D$16:$J$38</definedName>
    <definedName name="Valeur_131B" localSheetId="1">'IND 1.3.1'!#REF!</definedName>
    <definedName name="Valeur_131B">'IND 1.3.1'!$D$61:$F$83</definedName>
    <definedName name="Valeur_132">'IND 1.3.2'!$B$14:$F$26</definedName>
    <definedName name="Valeur_141">'IND 1.4.1-1.4.4'!$B$10:$D$32</definedName>
    <definedName name="Valeur_142" localSheetId="1">'IND 1.4.1-1.4.4'!$B$41:$G$44</definedName>
    <definedName name="Valeur_142">'IND 1.4.1-1.4.4'!$B$41:$G$44</definedName>
    <definedName name="Valeur_143">'IND 1.4.1-1.4.4'!$B$52:$E$53</definedName>
    <definedName name="Valeur_144">'IND 1.4.1-1.4.4'!$B$62:$D$65</definedName>
    <definedName name="Valeur_150A">'IND 1.5.0'!$C$21:$J$41</definedName>
    <definedName name="Valeur_150B" localSheetId="1">'IND 1.5.0'!#REF!</definedName>
    <definedName name="Valeur_150B">'IND 1.5.0'!$C$51:$J$65</definedName>
    <definedName name="Valeur_151A">'IND 1.5.1'!$B$13:$K$21</definedName>
    <definedName name="Valeur_151B">'IND 1.5.1'!$B$29:$K$37</definedName>
    <definedName name="Valeur_151C">'IND 1.5.1'!$B$45:$C$53</definedName>
    <definedName name="Valeur_152A" localSheetId="1">'IND 1.5.2'!#REF!</definedName>
    <definedName name="Valeur_152A">'IND 1.5.2'!$B$17:$S$93</definedName>
    <definedName name="Valeur_152B" localSheetId="1">'IND 1.5.2'!#REF!</definedName>
    <definedName name="Valeur_152B">'IND 1.5.2'!$T$17:$W$93</definedName>
    <definedName name="Valeur_153">'IND 1.5.3'!$B$12:$F$98</definedName>
    <definedName name="Valeur_154" localSheetId="1">'IND 1.5.4-1.5.5'!#REF!</definedName>
    <definedName name="Valeur_154">'IND 1.5.4-1.5.5'!$B$12:$C$18</definedName>
    <definedName name="Valeur_155">'IND 1.5.4-1.5.5'!$B$26:$C$36</definedName>
    <definedName name="Valeur_156" localSheetId="1">'IND 1.5.4-1.5.5'!#REF!</definedName>
    <definedName name="Valeur_156">'IND 1.5.6'!$B$12:$G$23</definedName>
    <definedName name="Valeur_157" localSheetId="1">'IND 1.5.6'!#REF!</definedName>
    <definedName name="Valeur_157">'IND 1.5.7'!$B$8:$C$10</definedName>
    <definedName name="Valeur_161A">'IND 1.6.1'!$B$17:$E$19</definedName>
    <definedName name="Valeur_161B">'IND 1.6.1'!$B$27:$E$27</definedName>
    <definedName name="Valeur_171">'IND 1.7.1'!$C$13:$E$47</definedName>
    <definedName name="Valeur_211A">'IND 2.1.1'!$D$15:$I$24</definedName>
    <definedName name="Valeur_211B">'IND 2.1.1'!$D$39:$N$45</definedName>
    <definedName name="Valeur_211C">'IND 2.1.1'!$D$55:$N$61</definedName>
    <definedName name="Valeur_212A">'IND 2.1.2'!$D$15:$I$24</definedName>
    <definedName name="Valeur_212B">'IND 2.1.2'!$D$37:$N$43</definedName>
    <definedName name="Valeur_212C">'IND 2.1.2'!$D$52:$N$58</definedName>
    <definedName name="Valeur_213A">'IND 2.1.3'!$D$16:$I$25</definedName>
    <definedName name="Valeur_213B">'IND 2.1.3'!$D$39:$N$45</definedName>
    <definedName name="Valeur_213C">'IND 2.1.3'!$D$54:$N$60</definedName>
    <definedName name="Valeur_214">'IND 2.1.4-2.1.6'!$B$11:$C$13</definedName>
    <definedName name="Valeur_215">'IND 2.1.4-2.1.6'!$B$23:$C$25</definedName>
    <definedName name="Valeur_215A" localSheetId="1">'IND 2.1.7'!#REF!</definedName>
    <definedName name="Valeur_215A">#REF!</definedName>
    <definedName name="Valeur_215B" localSheetId="1">'IND 2.1.7'!#REF!</definedName>
    <definedName name="Valeur_215B">#REF!</definedName>
    <definedName name="Valeur_216">'IND 2.1.4-2.1.6'!$B$35:$C$37</definedName>
    <definedName name="Valeur_217A">'IND 2.1.7'!$F$9:$G$13</definedName>
    <definedName name="Valeur_217B">'IND 2.1.7'!$F$16:$G$20</definedName>
    <definedName name="Valeur_221" localSheetId="1">'IND 2.2.1-2.2.4'!#REF!</definedName>
    <definedName name="Valeur_221">'IND 2.2.1-2.2.4'!$D$14:$F$21</definedName>
    <definedName name="Valeur_222">'IND 2.2.1-2.2.4'!$D$36:$F$39</definedName>
    <definedName name="Valeur_223A">'IND 2.2.1-2.2.4'!$C$49:$H$52</definedName>
    <definedName name="Valeur_223B">'IND 2.2.1-2.2.4'!$C$59:$H$62</definedName>
    <definedName name="Valeur_223C">'IND 2.2.1-2.2.4'!$C$69:$J$72</definedName>
    <definedName name="Valeur_224">'IND 2.2.1-2.2.4'!$B$88:$G$89</definedName>
    <definedName name="Valeur_226A">'IND 2.2.6'!$B$10:$H$14</definedName>
    <definedName name="Valeur_226B">'IND 2.2.6'!$B$19:$H$23</definedName>
    <definedName name="Valeur_226C">'IND 2.2.6'!$B$28:$H$32</definedName>
    <definedName name="Valeur_231">'IND 2.3.1'!$C$7:$E$11</definedName>
    <definedName name="Valeur_311" localSheetId="1">'IND 3.1.1-3.4.3'!#REF!</definedName>
    <definedName name="Valeur_311">'IND 3.1.1-3.4.3'!$B$19:$M$58</definedName>
    <definedName name="Valeur_321">'IND 3.1.1-3.4.3'!$B$67:$G$106</definedName>
    <definedName name="Valeur_331">'IND 3.1.1-3.4.3'!$D$119:$E$122</definedName>
    <definedName name="Valeur_343" localSheetId="63">'IND 3.4.4'!$B$20:$C$86</definedName>
    <definedName name="Valeur_344">'IND 3.4.4'!$B$20:$M$86</definedName>
    <definedName name="Valeur_411">'IND 4.1.1-4.1.2'!$B$9:$B$13</definedName>
    <definedName name="Valeur_412">'IND 4.1.1-4.1.2'!$B$26:$D$30</definedName>
    <definedName name="Valeur_413">'IND 4.1.3'!$C$8:$D$8</definedName>
    <definedName name="Valeur_421B">'IND 4.2.1'!$C$25:$J$101</definedName>
    <definedName name="Valeur_421C">'IND 4.2.1'!$K$25:$N$101</definedName>
    <definedName name="Valeur_422">'IND 4.2.2'!$C$16:$J$92</definedName>
    <definedName name="Valeur_423">'IND 4.2.3'!$C$10:$D$33</definedName>
    <definedName name="Valeur_424">'IND 4.2.4'!$B$7:$G$8</definedName>
    <definedName name="Valeur_431A">'IND 4.3.1'!$B$12:$C$16</definedName>
    <definedName name="Valeur_431B">'IND 4.3.1'!$B$24:$C$28</definedName>
    <definedName name="Valeur_431C">'IND 4.3.1'!$B$36:$C$40</definedName>
    <definedName name="Valeur_431D">'IND 4.3.1'!$B$48:$C$52</definedName>
    <definedName name="Valeur_511A">'IND 5.1.1'!$B$12:$F$15</definedName>
    <definedName name="Valeur_511B">'IND 5.1.1'!$B$29:$G$55</definedName>
    <definedName name="Valeur_511C">'IND 5.1.1'!$H$29:$K$53</definedName>
    <definedName name="Valeur_511D">'IND 5.1.1'!$B$63:$G$89</definedName>
    <definedName name="Valeur_511E">'IND 5.1.1'!$H$63:$K$87</definedName>
    <definedName name="Valeur_512A">'IND 5.1.2'!$B$15:$G$25</definedName>
    <definedName name="Valeur_512B">'IND 5.1.2'!$H$15:$K$25</definedName>
    <definedName name="Valeur_512C">'IND 5.1.2'!$B$36:$E$46</definedName>
    <definedName name="Valeur_513">'IND 5.1.3'!$B$13:$F$19</definedName>
    <definedName name="Valeur_514">'IND 5.1.4'!$C$11:$C$15</definedName>
    <definedName name="Valeur_612">'IND 6.1.1-6.1.3'!$B$38:$B$48</definedName>
    <definedName name="Valeur_613" localSheetId="1">'IND 6.1.1-6.1.3'!#REF!</definedName>
    <definedName name="Valeur_613">'IND 6.1.1-6.1.3'!$B$59:$B$62</definedName>
    <definedName name="Valeur_614" localSheetId="87">#REF!</definedName>
    <definedName name="Valeur_614" localSheetId="1">#REF!</definedName>
    <definedName name="Valeur_614">#REF!</definedName>
    <definedName name="Valeur_614A">'IND 6.1.4'!$B$11:$C$24</definedName>
    <definedName name="Valeur_614B">'IND 6.1.4'!$B$29:$C$33</definedName>
    <definedName name="Valeur_614C">'IND 6.1.4'!$B$38:$C$41</definedName>
    <definedName name="Valeur_614D">'IND 6.1.4'!$B$46:$C$56</definedName>
    <definedName name="Valeur_714A">'IND 7.1.4'!$B$11:$C$12</definedName>
    <definedName name="Valeur_714B">'IND 7.1.4'!$B$16:$C$27</definedName>
    <definedName name="Valeur_810A">'IND 8.1.0'!$B$8:$D$47</definedName>
    <definedName name="Valeur_810B">'IND 8.1.0'!$B$50:$D$89</definedName>
    <definedName name="values_typcoll" localSheetId="1">('[3]Page de garde'!$B$46:$B$59,'[3]Page de garde'!$B$60:$B$63)</definedName>
    <definedName name="values_typcoll">([2]General!$B$46:$B$59,[2]General!$B$60:$B$63)</definedName>
    <definedName name="Z_DCCB1FE8_CC1A_4857_913E_90D8561126B4_.wvu.PrintArea" localSheetId="21" hidden="1">'IND 1.2.1'!$A$2:$S$90</definedName>
    <definedName name="Z_DCCB1FE8_CC1A_4857_913E_90D8561126B4_.wvu.PrintArea" localSheetId="45" hidden="1">'IND 1.6.1'!$A$2:$I$12</definedName>
    <definedName name="Z_DCCB1FE8_CC1A_4857_913E_90D8561126B4_.wvu.PrintArea" localSheetId="63" hidden="1">'IND 3.4.4'!$A$2:$B$86</definedName>
    <definedName name="Z_DCCB1FE8_CC1A_4857_913E_90D8561126B4_.wvu.PrintArea" localSheetId="64" hidden="1">'IND 3.4.5'!$A$2:$C$13</definedName>
    <definedName name="Z_DCCB1FE8_CC1A_4857_913E_90D8561126B4_.wvu.PrintTitles" localSheetId="21" hidden="1">'IND 1.2.1'!$10:$13</definedName>
    <definedName name="Z_DCCB1FE8_CC1A_4857_913E_90D8561126B4_.wvu.PrintTitles" localSheetId="63" hidden="1">'IND 3.4.4'!$18:$18</definedName>
    <definedName name="_xlnm.Print_Area" localSheetId="0">A_LIRE!$A$2:$H$48</definedName>
    <definedName name="_xlnm.Print_Area" localSheetId="11">'Fiche 1.1.0'!$A$3:$F$33</definedName>
    <definedName name="_xlnm.Print_Area" localSheetId="13">'Fiche 1.1.1'!$A$3:$E$51</definedName>
    <definedName name="_xlnm.Print_Area" localSheetId="15">'Fiche 1.1.2'!$A$3:$F$36</definedName>
    <definedName name="_xlnm.Print_Area" localSheetId="17">'Fiche 1.1.3'!$A$3:$F$34</definedName>
    <definedName name="_xlnm.Print_Area" localSheetId="20">'Fiche 1.2.1'!$A$3:$H$62</definedName>
    <definedName name="_xlnm.Print_Area" localSheetId="22">'Fiche 1.2.2'!$A$3:$H$35</definedName>
    <definedName name="_xlnm.Print_Area" localSheetId="24">'Fiche 1.2.3'!$A$3:$H$31</definedName>
    <definedName name="_xlnm.Print_Area" localSheetId="27">'Fiche 1.3.1-1.3.2'!$A$3:$H$73</definedName>
    <definedName name="_xlnm.Print_Area" localSheetId="30">'Fiche 1.4.1-1.4.4'!$A$3:$H$60</definedName>
    <definedName name="_xlnm.Print_Area" localSheetId="32">'Fiche 1.5.0'!$A$3:$Q$105</definedName>
    <definedName name="_xlnm.Print_Area" localSheetId="34">'Fiche 1.5.1'!$A$3:$F$34</definedName>
    <definedName name="_xlnm.Print_Area" localSheetId="36">'Fiche 1.5.2'!$A$3:$H$44</definedName>
    <definedName name="_xlnm.Print_Area" localSheetId="38">'Fiche 1.5.3'!$A$3:$H$29</definedName>
    <definedName name="_xlnm.Print_Area" localSheetId="40">'Fiche 1.5.4-1.5.7'!$A$3:$H$70</definedName>
    <definedName name="_xlnm.Print_Area" localSheetId="44">'Fiche 1.6.1-1.6.2'!$A$3:$H$66</definedName>
    <definedName name="_xlnm.Print_Area" localSheetId="48">'Fiche 2.1.0'!$A$3:$G$14</definedName>
    <definedName name="_xlnm.Print_Area" localSheetId="55">'Fiche 2.2.1-2.2.7'!$A$3:$H$124</definedName>
    <definedName name="_xlnm.Print_Area" localSheetId="61">'Fiche 3.1.1-3.4.3'!$A$3:$H$70</definedName>
    <definedName name="_xlnm.Print_Area" localSheetId="67">'Fiche 4.1.4-4.1.6'!$A$3:$H$12</definedName>
    <definedName name="_xlnm.Print_Area" localSheetId="75">'Fiche 5.1.1-5.1.4'!$A$4:$H$90</definedName>
    <definedName name="_xlnm.Print_Area" localSheetId="81">'Fiche 6.1.4'!$A$4:$D$26</definedName>
    <definedName name="_xlnm.Print_Area" localSheetId="83">'Fiche 7.1.1-7.1.4'!$A$3:$J$30</definedName>
    <definedName name="_xlnm.Print_Area" localSheetId="12">'IND 1.1.0'!$A$3:$K$51</definedName>
    <definedName name="_xlnm.Print_Area" localSheetId="14">'IND 1.1.1'!$A$2:$I$378</definedName>
    <definedName name="_xlnm.Print_Area" localSheetId="16">'IND 1.1.2'!$A$3:$K$92</definedName>
    <definedName name="_xlnm.Print_Area" localSheetId="18">'IND 1.1.3'!$A$3:$E$17</definedName>
    <definedName name="_xlnm.Print_Area" localSheetId="19">'IND 1.1.4'!$A$3:$H$72</definedName>
    <definedName name="_xlnm.Print_Area" localSheetId="21">'IND 1.2.1'!$A$3:$T$93</definedName>
    <definedName name="_xlnm.Print_Area" localSheetId="23">'IND 1.2.2'!$A$3:$K$93</definedName>
    <definedName name="_xlnm.Print_Area" localSheetId="25">'IND 1.2.3'!$A$3:$F$17</definedName>
    <definedName name="_xlnm.Print_Area" localSheetId="26">'IND 1.2.4'!$A$3:$F$71</definedName>
    <definedName name="_xlnm.Print_Area" localSheetId="28">'IND 1.3.1'!$A$3:$J$83</definedName>
    <definedName name="_xlnm.Print_Area" localSheetId="29">'IND 1.3.2'!$A$3:$F$26</definedName>
    <definedName name="_xlnm.Print_Area" localSheetId="31">'IND 1.4.1-1.4.4'!$A$3:$G$65</definedName>
    <definedName name="_xlnm.Print_Area" localSheetId="33">'IND 1.5.0'!$A$3:$J$65</definedName>
    <definedName name="_xlnm.Print_Area" localSheetId="35">'IND 1.5.1'!$A$3:$K$53</definedName>
    <definedName name="_xlnm.Print_Area" localSheetId="37">'IND 1.5.2'!$A$3:$W$95</definedName>
    <definedName name="_xlnm.Print_Area" localSheetId="39">'IND 1.5.3'!$A$3:$F$101</definedName>
    <definedName name="_xlnm.Print_Area" localSheetId="41">'IND 1.5.4-1.5.5'!$A$4:$C$36</definedName>
    <definedName name="_xlnm.Print_Area" localSheetId="42">'IND 1.5.6'!$A$3:$G$23</definedName>
    <definedName name="_xlnm.Print_Area" localSheetId="43">'IND 1.5.7'!$A$3:$G$10</definedName>
    <definedName name="_xlnm.Print_Area" localSheetId="45">'IND 1.6.1'!$A$3:$I$27</definedName>
    <definedName name="_xlnm.Print_Area" localSheetId="46">'IND 1.6.2'!$A$3:$E$24</definedName>
    <definedName name="_xlnm.Print_Area" localSheetId="47">'IND 1.7.1'!$A$4:$E$58</definedName>
    <definedName name="_xlnm.Print_Area" localSheetId="49">'IND 2.1.0'!$A$3:$B$10</definedName>
    <definedName name="_xlnm.Print_Area" localSheetId="50">'IND 2.1.1'!$A$3:$N$61</definedName>
    <definedName name="_xlnm.Print_Area" localSheetId="51">'IND 2.1.2'!$A$3:$N$58</definedName>
    <definedName name="_xlnm.Print_Area" localSheetId="52">'IND 2.1.3'!$A$3:$N$60</definedName>
    <definedName name="_xlnm.Print_Area" localSheetId="53">'IND 2.1.4-2.1.6'!$A$4:$C$37</definedName>
    <definedName name="_xlnm.Print_Area" localSheetId="54">'IND 2.1.7'!$A$4:$G$20</definedName>
    <definedName name="_xlnm.Print_Area" localSheetId="56">'IND 2.2.1-2.2.4'!$A$3:$J$93</definedName>
    <definedName name="_xlnm.Print_Area" localSheetId="57">'IND 2.2.5'!$A$3:$F$5</definedName>
    <definedName name="_xlnm.Print_Area" localSheetId="58">'IND 2.2.6'!$A$3:$H$32</definedName>
    <definedName name="_xlnm.Print_Area" localSheetId="59">'IND 2.2.7'!$A$3:$G$7</definedName>
    <definedName name="_xlnm.Print_Area" localSheetId="60">'IND 2.3.1'!$A$3:$F$19</definedName>
    <definedName name="_xlnm.Print_Area" localSheetId="62">'IND 3.1.1-3.4.3'!$A$3:$M$145</definedName>
    <definedName name="_xlnm.Print_Area" localSheetId="63">'IND 3.4.4'!$A$3:$M$88</definedName>
    <definedName name="_xlnm.Print_Area" localSheetId="64">'IND 3.4.5'!$A$3:$C$12</definedName>
    <definedName name="_xlnm.Print_Area" localSheetId="65">'IND 4.1.1-4.1.2'!$A$4:$D$35</definedName>
    <definedName name="_xlnm.Print_Area" localSheetId="66">'IND 4.1.3'!$A$4:$D$8</definedName>
    <definedName name="_xlnm.Print_Area" localSheetId="68">'IND 4.1.4-4.1.7'!$A$3:$F$47</definedName>
    <definedName name="_xlnm.Print_Area" localSheetId="69">'IND 4.2.1'!$A$3:$N$104</definedName>
    <definedName name="_xlnm.Print_Area" localSheetId="70">'IND 4.2.2'!$A$3:$J$94</definedName>
    <definedName name="_xlnm.Print_Area" localSheetId="71">'IND 4.2.3'!$A$3:$D$33</definedName>
    <definedName name="_xlnm.Print_Area" localSheetId="72">'IND 4.2.4'!$A$3:$G$10</definedName>
    <definedName name="_xlnm.Print_Area" localSheetId="73">'IND 4.2.5'!$A$3:$I$7</definedName>
    <definedName name="_xlnm.Print_Area" localSheetId="74">'IND 4.3.1'!$A$3:$C$52</definedName>
    <definedName name="_xlnm.Print_Area" localSheetId="76">'IND 5.1.1'!$A$4:$K$89</definedName>
    <definedName name="_xlnm.Print_Area" localSheetId="77">'IND 5.1.2'!$A$4:$K$46</definedName>
    <definedName name="_xlnm.Print_Area" localSheetId="78">'IND 5.1.3'!$A$4:$F$23</definedName>
    <definedName name="_xlnm.Print_Area" localSheetId="79">'IND 5.1.4'!$A$5:$C$24</definedName>
    <definedName name="_xlnm.Print_Area" localSheetId="80">'IND 6.1.1-6.1.3'!$A$3:$C$65</definedName>
    <definedName name="_xlnm.Print_Area" localSheetId="82">'IND 6.1.4'!$A$4:$C$56</definedName>
    <definedName name="_xlnm.Print_Area" localSheetId="84">'IND 7.1.1-7.1.3'!$A$3:$C$40</definedName>
    <definedName name="_xlnm.Print_Area" localSheetId="85">'IND 7.1.4'!$A$3:$E$27</definedName>
    <definedName name="_xlnm.Print_Area" localSheetId="87">'IND 8.1.0'!$A$3:$D$89</definedName>
    <definedName name="_xlnm.Print_Area" localSheetId="88">Messages_controles!$A$5:$K$100</definedName>
    <definedName name="_xlnm.Print_Area" localSheetId="10">Sommaire!$A$1:$B$143</definedName>
    <definedName name="_xlnm.Print_Area" localSheetId="1">synthese!$A$1:$CE$57</definedName>
  </definedNames>
  <calcPr calcId="125725"/>
</workbook>
</file>

<file path=xl/calcChain.xml><?xml version="1.0" encoding="utf-8"?>
<calcChain xmlns="http://schemas.openxmlformats.org/spreadsheetml/2006/main">
  <c r="AL86" i="184"/>
  <c r="AJ50" l="1"/>
  <c r="AX56"/>
  <c r="AG72" l="1"/>
  <c r="AF72"/>
  <c r="AG62"/>
  <c r="AG63"/>
  <c r="AG64"/>
  <c r="AG65"/>
  <c r="AG66"/>
  <c r="AG67"/>
  <c r="AF67"/>
  <c r="AF66"/>
  <c r="AF65"/>
  <c r="AF64"/>
  <c r="AF63"/>
  <c r="AF62"/>
  <c r="AG74" l="1"/>
  <c r="AE38" s="1"/>
  <c r="AA73"/>
  <c r="AB73"/>
  <c r="AA75"/>
  <c r="AB75"/>
  <c r="AB74"/>
  <c r="AE30" s="1"/>
  <c r="AB71"/>
  <c r="AA71"/>
  <c r="B10"/>
  <c r="AL81"/>
  <c r="BJ55"/>
  <c r="BJ51"/>
  <c r="BO47"/>
  <c r="AW56"/>
  <c r="BG56"/>
  <c r="BD56" s="1"/>
  <c r="BD52"/>
  <c r="BD51" s="1"/>
  <c r="AY71"/>
  <c r="AY70"/>
  <c r="AY69"/>
  <c r="AZ65"/>
  <c r="AZ64"/>
  <c r="AZ63"/>
  <c r="AX50"/>
  <c r="AW50" s="1"/>
  <c r="AW47"/>
  <c r="BL125"/>
  <c r="BL124"/>
  <c r="BL123"/>
  <c r="BL122"/>
  <c r="BL121"/>
  <c r="BL120"/>
  <c r="BL119"/>
  <c r="BL118"/>
  <c r="BJ118" s="1"/>
  <c r="BL117"/>
  <c r="BJ117" s="1"/>
  <c r="BL116"/>
  <c r="BL115"/>
  <c r="BX64"/>
  <c r="BV64"/>
  <c r="BX63"/>
  <c r="BV63"/>
  <c r="AH78"/>
  <c r="AG78"/>
  <c r="AF78"/>
  <c r="BV73"/>
  <c r="BX69"/>
  <c r="BW69" s="1"/>
  <c r="BX68"/>
  <c r="BW68" s="1"/>
  <c r="BP33"/>
  <c r="BG49"/>
  <c r="BD49"/>
  <c r="BD44"/>
  <c r="BG40"/>
  <c r="BG41" s="1"/>
  <c r="BD37"/>
  <c r="BD34"/>
  <c r="BD32"/>
  <c r="BD31"/>
  <c r="AX25"/>
  <c r="AW25" s="1"/>
  <c r="BF76"/>
  <c r="BF75"/>
  <c r="BM110"/>
  <c r="BN26" s="1"/>
  <c r="BM109"/>
  <c r="BM108"/>
  <c r="BJ26"/>
  <c r="BJ25"/>
  <c r="BJ24"/>
  <c r="AX21"/>
  <c r="AX19"/>
  <c r="AW19" s="1"/>
  <c r="AP6"/>
  <c r="AL6"/>
  <c r="AK174"/>
  <c r="AT155"/>
  <c r="AR155"/>
  <c r="AP155"/>
  <c r="AO155"/>
  <c r="AT154"/>
  <c r="AR154"/>
  <c r="AP154"/>
  <c r="AO154"/>
  <c r="AN154"/>
  <c r="AK154"/>
  <c r="AT153"/>
  <c r="AR153"/>
  <c r="AP153"/>
  <c r="AO153"/>
  <c r="AN153"/>
  <c r="AK153"/>
  <c r="AT152"/>
  <c r="AR152"/>
  <c r="AP152"/>
  <c r="AO152"/>
  <c r="AN152"/>
  <c r="AK152"/>
  <c r="AT151"/>
  <c r="AR151"/>
  <c r="AP151"/>
  <c r="AQ26" s="1"/>
  <c r="AO151"/>
  <c r="AN151"/>
  <c r="AK151"/>
  <c r="AT150"/>
  <c r="AR150"/>
  <c r="AP150"/>
  <c r="AO150"/>
  <c r="AN150"/>
  <c r="AK150"/>
  <c r="AT149"/>
  <c r="AR149"/>
  <c r="AP149"/>
  <c r="AO149"/>
  <c r="AN149"/>
  <c r="AK149"/>
  <c r="AT148"/>
  <c r="AR148"/>
  <c r="AP148"/>
  <c r="AO148"/>
  <c r="AN148"/>
  <c r="AK148"/>
  <c r="AL76"/>
  <c r="AR71"/>
  <c r="AP71"/>
  <c r="AO71"/>
  <c r="AN71"/>
  <c r="AR70"/>
  <c r="AP70"/>
  <c r="AO70"/>
  <c r="AN70"/>
  <c r="AR69"/>
  <c r="AP69"/>
  <c r="AO69"/>
  <c r="AN69"/>
  <c r="AJ48"/>
  <c r="U147"/>
  <c r="U126"/>
  <c r="U120"/>
  <c r="U112"/>
  <c r="U108"/>
  <c r="U106"/>
  <c r="U105"/>
  <c r="BJ53"/>
  <c r="BI51" s="1"/>
  <c r="BJ49"/>
  <c r="BI49" s="1"/>
  <c r="BO48"/>
  <c r="BO45"/>
  <c r="BN45" s="1"/>
  <c r="AG111"/>
  <c r="AG110"/>
  <c r="AG61"/>
  <c r="AF61"/>
  <c r="AT168"/>
  <c r="AT167"/>
  <c r="AU29" s="1"/>
  <c r="AT166"/>
  <c r="AU28" s="1"/>
  <c r="AT165"/>
  <c r="AT164"/>
  <c r="AU26" s="1"/>
  <c r="AT163"/>
  <c r="AU25" s="1"/>
  <c r="AT162"/>
  <c r="AT161"/>
  <c r="AP168"/>
  <c r="AQ30" s="1"/>
  <c r="AP167"/>
  <c r="AQ29" s="1"/>
  <c r="AN167"/>
  <c r="AM29" s="1"/>
  <c r="AP166"/>
  <c r="AQ28" s="1"/>
  <c r="AN166"/>
  <c r="AM28" s="1"/>
  <c r="AP165"/>
  <c r="AQ27" s="1"/>
  <c r="AN165"/>
  <c r="AP164"/>
  <c r="AN164"/>
  <c r="AP163"/>
  <c r="AN163"/>
  <c r="AP162"/>
  <c r="AN162"/>
  <c r="AP161"/>
  <c r="AQ23" s="1"/>
  <c r="AN161"/>
  <c r="AR168"/>
  <c r="AO168"/>
  <c r="AO30" s="1"/>
  <c r="AR167"/>
  <c r="AS29" s="1"/>
  <c r="AO167"/>
  <c r="AO29" s="1"/>
  <c r="AR166"/>
  <c r="AO166"/>
  <c r="AR165"/>
  <c r="AO165"/>
  <c r="AR164"/>
  <c r="AO164"/>
  <c r="AO26" s="1"/>
  <c r="AR163"/>
  <c r="AO163"/>
  <c r="AR162"/>
  <c r="AO162"/>
  <c r="AR161"/>
  <c r="AS23" s="1"/>
  <c r="AO161"/>
  <c r="AO23" s="1"/>
  <c r="AK167"/>
  <c r="AK29" s="1"/>
  <c r="AK166"/>
  <c r="AK165"/>
  <c r="AK164"/>
  <c r="AK26" s="1"/>
  <c r="AK163"/>
  <c r="AK25" s="1"/>
  <c r="AK162"/>
  <c r="AK161"/>
  <c r="AK23" s="1"/>
  <c r="E84"/>
  <c r="D84"/>
  <c r="E83"/>
  <c r="D83"/>
  <c r="E82"/>
  <c r="D82"/>
  <c r="C5"/>
  <c r="AU169"/>
  <c r="P160"/>
  <c r="P159"/>
  <c r="P158"/>
  <c r="P157"/>
  <c r="AU156"/>
  <c r="U134"/>
  <c r="P127"/>
  <c r="P126"/>
  <c r="BJ123"/>
  <c r="P123"/>
  <c r="P122"/>
  <c r="P121"/>
  <c r="BJ119"/>
  <c r="AA117"/>
  <c r="P116"/>
  <c r="P115"/>
  <c r="P114"/>
  <c r="P113"/>
  <c r="P110"/>
  <c r="P109"/>
  <c r="P108"/>
  <c r="P107"/>
  <c r="AA99"/>
  <c r="GW59"/>
  <c r="GV58"/>
  <c r="GV57"/>
  <c r="GV56"/>
  <c r="GV55"/>
  <c r="GV54"/>
  <c r="GV53"/>
  <c r="GV52"/>
  <c r="GV51"/>
  <c r="GV50"/>
  <c r="BZ50"/>
  <c r="GV49"/>
  <c r="GV48"/>
  <c r="GV47"/>
  <c r="GV46"/>
  <c r="GV45"/>
  <c r="BI45"/>
  <c r="GV44"/>
  <c r="GV43"/>
  <c r="GV42"/>
  <c r="GV41"/>
  <c r="GV40"/>
  <c r="BD41"/>
  <c r="BD40"/>
  <c r="GV39"/>
  <c r="GV38"/>
  <c r="GZ37"/>
  <c r="GY37"/>
  <c r="GX37"/>
  <c r="AJ37"/>
  <c r="GV36"/>
  <c r="BP36"/>
  <c r="GV35"/>
  <c r="GV34"/>
  <c r="GV33"/>
  <c r="GV32"/>
  <c r="GV31"/>
  <c r="GV30"/>
  <c r="BO30"/>
  <c r="BI30"/>
  <c r="AM30"/>
  <c r="AK30"/>
  <c r="GV29"/>
  <c r="GV28"/>
  <c r="GV27"/>
  <c r="GV26"/>
  <c r="AM26"/>
  <c r="GV25"/>
  <c r="GV24"/>
  <c r="GV23"/>
  <c r="GV22"/>
  <c r="GV21"/>
  <c r="GV20"/>
  <c r="GV19"/>
  <c r="GV18"/>
  <c r="GV17"/>
  <c r="GV16"/>
  <c r="GV15"/>
  <c r="GV14"/>
  <c r="GV13"/>
  <c r="GV12"/>
  <c r="GV11"/>
  <c r="GV10"/>
  <c r="GV9"/>
  <c r="GV8"/>
  <c r="GV7"/>
  <c r="GV6"/>
  <c r="GV5"/>
  <c r="GV4"/>
  <c r="GV3"/>
  <c r="GV2"/>
  <c r="BJ124" l="1"/>
  <c r="AM23"/>
  <c r="AK27"/>
  <c r="BJ120"/>
  <c r="AZ66"/>
  <c r="BJ121"/>
  <c r="AK28"/>
  <c r="BJ30"/>
  <c r="BJ116"/>
  <c r="AU24"/>
  <c r="AQ24"/>
  <c r="AU30"/>
  <c r="AU27"/>
  <c r="AM27"/>
  <c r="AQ25"/>
  <c r="AM25"/>
  <c r="AU23"/>
  <c r="AT70"/>
  <c r="AS24"/>
  <c r="AO24"/>
  <c r="AK24"/>
  <c r="AS26"/>
  <c r="AS28"/>
  <c r="AO28"/>
  <c r="AS30"/>
  <c r="AS27"/>
  <c r="AO27"/>
  <c r="AS25"/>
  <c r="AO25"/>
  <c r="AS71"/>
  <c r="AX23"/>
  <c r="F82"/>
  <c r="F86" s="1"/>
  <c r="AP72"/>
  <c r="AY72"/>
  <c r="AX53" s="1"/>
  <c r="AW53" s="1"/>
  <c r="AO156"/>
  <c r="AH80"/>
  <c r="AB76"/>
  <c r="Y35" s="1"/>
  <c r="AB72"/>
  <c r="Y30" s="1"/>
  <c r="AR72"/>
  <c r="AJ42" s="1"/>
  <c r="AU70"/>
  <c r="AN169"/>
  <c r="BM122"/>
  <c r="AO72"/>
  <c r="AM24"/>
  <c r="AU71"/>
  <c r="F84"/>
  <c r="F88" s="1"/>
  <c r="AO169"/>
  <c r="AR169"/>
  <c r="BW70"/>
  <c r="AS70"/>
  <c r="M52"/>
  <c r="AN156"/>
  <c r="AK156"/>
  <c r="F83"/>
  <c r="F87" s="1"/>
  <c r="R51"/>
  <c r="AX52"/>
  <c r="AW52" s="1"/>
  <c r="AN72"/>
  <c r="BM111"/>
  <c r="AR156"/>
  <c r="AK169"/>
  <c r="GV59"/>
  <c r="BM125"/>
  <c r="BM124"/>
  <c r="BM117"/>
  <c r="BM121"/>
  <c r="AT169"/>
  <c r="AP62"/>
  <c r="AJ4" s="1"/>
  <c r="BM123"/>
  <c r="AP156"/>
  <c r="AT156"/>
  <c r="BM120"/>
  <c r="BJ122"/>
  <c r="AP169"/>
  <c r="BC51"/>
  <c r="BJ115"/>
  <c r="BJ125"/>
  <c r="BM116"/>
  <c r="BM119"/>
  <c r="AS69"/>
  <c r="AT71"/>
  <c r="BM115"/>
  <c r="AT69"/>
  <c r="BM118"/>
  <c r="AU69"/>
  <c r="AS6" l="1"/>
  <c r="AM31"/>
  <c r="AQ31"/>
  <c r="AU31"/>
  <c r="AK31"/>
  <c r="AS31"/>
  <c r="AO31"/>
  <c r="AS72"/>
  <c r="AJ40"/>
  <c r="AN40"/>
  <c r="AU72"/>
  <c r="AT72"/>
  <c r="AN42" s="1"/>
  <c r="AH55"/>
  <c r="Y55"/>
  <c r="AH57"/>
  <c r="Y56"/>
  <c r="Y53" s="1"/>
  <c r="X53" s="1"/>
  <c r="Y57"/>
  <c r="AH56"/>
  <c r="AE39" l="1"/>
  <c r="C36" i="103" l="1"/>
  <c r="B36"/>
  <c r="B6" i="139" l="1"/>
  <c r="C6"/>
  <c r="B7"/>
  <c r="C7"/>
  <c r="B8"/>
  <c r="C8"/>
  <c r="B10"/>
  <c r="C10"/>
  <c r="B11"/>
  <c r="C11"/>
  <c r="B12"/>
  <c r="C12"/>
  <c r="B14"/>
  <c r="C14"/>
  <c r="B15"/>
  <c r="C15"/>
  <c r="B16"/>
  <c r="C16"/>
  <c r="B18"/>
  <c r="C18"/>
  <c r="B19"/>
  <c r="C19"/>
  <c r="B20"/>
  <c r="C20"/>
  <c r="B22"/>
  <c r="C22"/>
  <c r="B23"/>
  <c r="C23"/>
  <c r="B24"/>
  <c r="C24"/>
  <c r="B26"/>
  <c r="C26"/>
  <c r="B27"/>
  <c r="C27"/>
  <c r="B28"/>
  <c r="C28"/>
  <c r="B30"/>
  <c r="C30"/>
  <c r="B31"/>
  <c r="C31"/>
  <c r="B32"/>
  <c r="C32"/>
  <c r="B34"/>
  <c r="C34"/>
  <c r="B35"/>
  <c r="C35"/>
  <c r="B36"/>
  <c r="C36"/>
  <c r="B38"/>
  <c r="C38"/>
  <c r="B39"/>
  <c r="C39"/>
  <c r="B40"/>
  <c r="C40"/>
  <c r="B42"/>
  <c r="C42"/>
  <c r="B43"/>
  <c r="C43"/>
  <c r="B48"/>
  <c r="C48"/>
  <c r="B49"/>
  <c r="C49"/>
  <c r="B50"/>
  <c r="C50"/>
  <c r="B52"/>
  <c r="C52"/>
  <c r="B53"/>
  <c r="C53"/>
  <c r="B54"/>
  <c r="C54"/>
  <c r="B56"/>
  <c r="C56"/>
  <c r="B57"/>
  <c r="C57"/>
  <c r="B58"/>
  <c r="C58"/>
  <c r="B60"/>
  <c r="C60"/>
  <c r="B61"/>
  <c r="C61"/>
  <c r="B62"/>
  <c r="C62"/>
  <c r="B64"/>
  <c r="C64"/>
  <c r="B65"/>
  <c r="C65"/>
  <c r="B66"/>
  <c r="C66"/>
  <c r="B68"/>
  <c r="C68"/>
  <c r="B69"/>
  <c r="C69"/>
  <c r="B70"/>
  <c r="C70"/>
  <c r="B72"/>
  <c r="C72"/>
  <c r="B73"/>
  <c r="C73"/>
  <c r="B74"/>
  <c r="C74"/>
  <c r="B76"/>
  <c r="C76"/>
  <c r="B77"/>
  <c r="C77"/>
  <c r="B78"/>
  <c r="C78"/>
  <c r="B80"/>
  <c r="C80"/>
  <c r="B81"/>
  <c r="C81"/>
  <c r="B82"/>
  <c r="C82"/>
  <c r="B84"/>
  <c r="B85"/>
  <c r="C85"/>
  <c r="B21" i="5"/>
  <c r="C21"/>
  <c r="D21"/>
  <c r="E21"/>
  <c r="F21"/>
  <c r="G21"/>
  <c r="H21"/>
  <c r="I21"/>
  <c r="J21"/>
  <c r="K21"/>
  <c r="B36"/>
  <c r="C36"/>
  <c r="D36"/>
  <c r="E36"/>
  <c r="F36"/>
  <c r="G36"/>
  <c r="H36"/>
  <c r="I36"/>
  <c r="J36"/>
  <c r="K36"/>
  <c r="B51"/>
  <c r="C51"/>
  <c r="F19" i="7"/>
  <c r="I19"/>
  <c r="F20"/>
  <c r="I20"/>
  <c r="F21"/>
  <c r="I21"/>
  <c r="F22"/>
  <c r="I22"/>
  <c r="B23"/>
  <c r="C23"/>
  <c r="D23"/>
  <c r="E23"/>
  <c r="G23"/>
  <c r="H23"/>
  <c r="F25"/>
  <c r="I25"/>
  <c r="F26"/>
  <c r="I26"/>
  <c r="F27"/>
  <c r="I27"/>
  <c r="F28"/>
  <c r="I28"/>
  <c r="F29"/>
  <c r="I29"/>
  <c r="B30"/>
  <c r="C30"/>
  <c r="D30"/>
  <c r="E30"/>
  <c r="G30"/>
  <c r="H30"/>
  <c r="F32"/>
  <c r="F33" s="1"/>
  <c r="I32"/>
  <c r="I33" s="1"/>
  <c r="GP4" i="184" s="1"/>
  <c r="B33" i="7"/>
  <c r="C33"/>
  <c r="D33"/>
  <c r="E33"/>
  <c r="G33"/>
  <c r="H33"/>
  <c r="F35"/>
  <c r="I35"/>
  <c r="F36"/>
  <c r="I36"/>
  <c r="F37"/>
  <c r="I37"/>
  <c r="F38"/>
  <c r="I38"/>
  <c r="F39"/>
  <c r="I39"/>
  <c r="B40"/>
  <c r="C40"/>
  <c r="D40"/>
  <c r="E40"/>
  <c r="G40"/>
  <c r="H40"/>
  <c r="F42"/>
  <c r="I42"/>
  <c r="F43"/>
  <c r="I43"/>
  <c r="F44"/>
  <c r="I44"/>
  <c r="F45"/>
  <c r="I45"/>
  <c r="F46"/>
  <c r="I46"/>
  <c r="B47"/>
  <c r="C47"/>
  <c r="D47"/>
  <c r="E47"/>
  <c r="G47"/>
  <c r="H47"/>
  <c r="F52"/>
  <c r="I52"/>
  <c r="F53"/>
  <c r="I53"/>
  <c r="F54"/>
  <c r="I54"/>
  <c r="F55"/>
  <c r="I55"/>
  <c r="B56"/>
  <c r="C56"/>
  <c r="D56"/>
  <c r="E56"/>
  <c r="G56"/>
  <c r="H56"/>
  <c r="F58"/>
  <c r="I58"/>
  <c r="F59"/>
  <c r="I59"/>
  <c r="F60"/>
  <c r="I60"/>
  <c r="F61"/>
  <c r="I61"/>
  <c r="B62"/>
  <c r="C62"/>
  <c r="D62"/>
  <c r="E62"/>
  <c r="G62"/>
  <c r="H62"/>
  <c r="F64"/>
  <c r="I64"/>
  <c r="F65"/>
  <c r="I65"/>
  <c r="F66"/>
  <c r="I66"/>
  <c r="F67"/>
  <c r="I67"/>
  <c r="F68"/>
  <c r="I68"/>
  <c r="B69"/>
  <c r="C69"/>
  <c r="D69"/>
  <c r="E69"/>
  <c r="G69"/>
  <c r="H69"/>
  <c r="F71"/>
  <c r="I71"/>
  <c r="F72"/>
  <c r="I72"/>
  <c r="F73"/>
  <c r="I73"/>
  <c r="B74"/>
  <c r="C74"/>
  <c r="D74"/>
  <c r="E74"/>
  <c r="G74"/>
  <c r="H74"/>
  <c r="F76"/>
  <c r="I76"/>
  <c r="F77"/>
  <c r="I77"/>
  <c r="F78"/>
  <c r="I78"/>
  <c r="F79"/>
  <c r="I79"/>
  <c r="F80"/>
  <c r="I80"/>
  <c r="B81"/>
  <c r="C81"/>
  <c r="D81"/>
  <c r="E81"/>
  <c r="G81"/>
  <c r="H81"/>
  <c r="F83"/>
  <c r="I83"/>
  <c r="F84"/>
  <c r="I84"/>
  <c r="F85"/>
  <c r="I85"/>
  <c r="F86"/>
  <c r="I86"/>
  <c r="F87"/>
  <c r="I87"/>
  <c r="B88"/>
  <c r="C88"/>
  <c r="D88"/>
  <c r="E88"/>
  <c r="G88"/>
  <c r="H88"/>
  <c r="F93"/>
  <c r="I93"/>
  <c r="F94"/>
  <c r="I94"/>
  <c r="F95"/>
  <c r="I95"/>
  <c r="B96"/>
  <c r="C96"/>
  <c r="D96"/>
  <c r="E96"/>
  <c r="G96"/>
  <c r="H96"/>
  <c r="F98"/>
  <c r="I98"/>
  <c r="F99"/>
  <c r="I99"/>
  <c r="F100"/>
  <c r="I100"/>
  <c r="B101"/>
  <c r="C101"/>
  <c r="D101"/>
  <c r="E101"/>
  <c r="G101"/>
  <c r="H101"/>
  <c r="F103"/>
  <c r="I103"/>
  <c r="F104"/>
  <c r="I104"/>
  <c r="F105"/>
  <c r="I105"/>
  <c r="B106"/>
  <c r="C106"/>
  <c r="D106"/>
  <c r="E106"/>
  <c r="G106"/>
  <c r="H106"/>
  <c r="F108"/>
  <c r="I108"/>
  <c r="F109"/>
  <c r="I109"/>
  <c r="F110"/>
  <c r="I110"/>
  <c r="B111"/>
  <c r="C111"/>
  <c r="D111"/>
  <c r="E111"/>
  <c r="G111"/>
  <c r="H111"/>
  <c r="F113"/>
  <c r="I113"/>
  <c r="F114"/>
  <c r="I114"/>
  <c r="F115"/>
  <c r="I115"/>
  <c r="F116"/>
  <c r="I116"/>
  <c r="B117"/>
  <c r="C117"/>
  <c r="D117"/>
  <c r="E117"/>
  <c r="G117"/>
  <c r="H117"/>
  <c r="F119"/>
  <c r="I119"/>
  <c r="F120"/>
  <c r="I120"/>
  <c r="F121"/>
  <c r="I121"/>
  <c r="B122"/>
  <c r="C122"/>
  <c r="D122"/>
  <c r="E122"/>
  <c r="G122"/>
  <c r="H122"/>
  <c r="F124"/>
  <c r="I124"/>
  <c r="F125"/>
  <c r="I125"/>
  <c r="F126"/>
  <c r="I126"/>
  <c r="F127"/>
  <c r="I127"/>
  <c r="F128"/>
  <c r="I128"/>
  <c r="B129"/>
  <c r="C129"/>
  <c r="D129"/>
  <c r="E129"/>
  <c r="G129"/>
  <c r="H129"/>
  <c r="F131"/>
  <c r="I131"/>
  <c r="F132"/>
  <c r="I132"/>
  <c r="F133"/>
  <c r="I133"/>
  <c r="F134"/>
  <c r="I134"/>
  <c r="F135"/>
  <c r="I135"/>
  <c r="B136"/>
  <c r="C136"/>
  <c r="D136"/>
  <c r="E136"/>
  <c r="G136"/>
  <c r="H136"/>
  <c r="F138"/>
  <c r="I138"/>
  <c r="F139"/>
  <c r="I139"/>
  <c r="F140"/>
  <c r="I140"/>
  <c r="F141"/>
  <c r="I141"/>
  <c r="F142"/>
  <c r="I142"/>
  <c r="B143"/>
  <c r="C143"/>
  <c r="D143"/>
  <c r="E143"/>
  <c r="G143"/>
  <c r="H143"/>
  <c r="F148"/>
  <c r="I148"/>
  <c r="F149"/>
  <c r="I149"/>
  <c r="F150"/>
  <c r="I150"/>
  <c r="B151"/>
  <c r="C151"/>
  <c r="D151"/>
  <c r="E151"/>
  <c r="G151"/>
  <c r="H151"/>
  <c r="F153"/>
  <c r="I153"/>
  <c r="F154"/>
  <c r="I154"/>
  <c r="F155"/>
  <c r="I155"/>
  <c r="F156"/>
  <c r="I156"/>
  <c r="F157"/>
  <c r="I157"/>
  <c r="B158"/>
  <c r="C158"/>
  <c r="D158"/>
  <c r="E158"/>
  <c r="G158"/>
  <c r="H158"/>
  <c r="F160"/>
  <c r="I160"/>
  <c r="F161"/>
  <c r="I161"/>
  <c r="F162"/>
  <c r="I162"/>
  <c r="F163"/>
  <c r="I163"/>
  <c r="B164"/>
  <c r="C164"/>
  <c r="D164"/>
  <c r="E164"/>
  <c r="G164"/>
  <c r="H164"/>
  <c r="F169"/>
  <c r="I169"/>
  <c r="F170"/>
  <c r="I170"/>
  <c r="F171"/>
  <c r="I171"/>
  <c r="F172"/>
  <c r="I172"/>
  <c r="B173"/>
  <c r="C173"/>
  <c r="D173"/>
  <c r="E173"/>
  <c r="G173"/>
  <c r="H173"/>
  <c r="F175"/>
  <c r="I175"/>
  <c r="F176"/>
  <c r="I176"/>
  <c r="F177"/>
  <c r="I177"/>
  <c r="F178"/>
  <c r="I178"/>
  <c r="B179"/>
  <c r="C179"/>
  <c r="D179"/>
  <c r="E179"/>
  <c r="G179"/>
  <c r="H179"/>
  <c r="F181"/>
  <c r="I181"/>
  <c r="F182"/>
  <c r="I182"/>
  <c r="F183"/>
  <c r="I183"/>
  <c r="F184"/>
  <c r="I184"/>
  <c r="B185"/>
  <c r="C185"/>
  <c r="D185"/>
  <c r="E185"/>
  <c r="G185"/>
  <c r="H185"/>
  <c r="F187"/>
  <c r="I187"/>
  <c r="F188"/>
  <c r="I188"/>
  <c r="F189"/>
  <c r="I189"/>
  <c r="B190"/>
  <c r="C190"/>
  <c r="D190"/>
  <c r="E190"/>
  <c r="G190"/>
  <c r="H190"/>
  <c r="F192"/>
  <c r="I192"/>
  <c r="F193"/>
  <c r="I193"/>
  <c r="F194"/>
  <c r="I194"/>
  <c r="B195"/>
  <c r="C195"/>
  <c r="D195"/>
  <c r="E195"/>
  <c r="G195"/>
  <c r="H195"/>
  <c r="F197"/>
  <c r="I197"/>
  <c r="F198"/>
  <c r="I198"/>
  <c r="F199"/>
  <c r="I199"/>
  <c r="F200"/>
  <c r="I200"/>
  <c r="F201"/>
  <c r="I201"/>
  <c r="B202"/>
  <c r="C202"/>
  <c r="D202"/>
  <c r="E202"/>
  <c r="G202"/>
  <c r="H202"/>
  <c r="F207"/>
  <c r="I207"/>
  <c r="F208"/>
  <c r="I208"/>
  <c r="F209"/>
  <c r="I209"/>
  <c r="F210"/>
  <c r="I210"/>
  <c r="B211"/>
  <c r="C211"/>
  <c r="D211"/>
  <c r="E211"/>
  <c r="G211"/>
  <c r="H211"/>
  <c r="F213"/>
  <c r="I213"/>
  <c r="F214"/>
  <c r="I214"/>
  <c r="F215"/>
  <c r="I215"/>
  <c r="B216"/>
  <c r="C216"/>
  <c r="D216"/>
  <c r="E216"/>
  <c r="G216"/>
  <c r="H216"/>
  <c r="F218"/>
  <c r="I218"/>
  <c r="F219"/>
  <c r="I219"/>
  <c r="F220"/>
  <c r="I220"/>
  <c r="B221"/>
  <c r="C221"/>
  <c r="D221"/>
  <c r="E221"/>
  <c r="G221"/>
  <c r="H221"/>
  <c r="F223"/>
  <c r="I223"/>
  <c r="F224"/>
  <c r="I224"/>
  <c r="F225"/>
  <c r="I225"/>
  <c r="F226"/>
  <c r="I226"/>
  <c r="B227"/>
  <c r="C227"/>
  <c r="D227"/>
  <c r="E227"/>
  <c r="G227"/>
  <c r="H227"/>
  <c r="F229"/>
  <c r="I229"/>
  <c r="F230"/>
  <c r="I230"/>
  <c r="B231"/>
  <c r="C231"/>
  <c r="D231"/>
  <c r="E231"/>
  <c r="G231"/>
  <c r="H231"/>
  <c r="F233"/>
  <c r="I233"/>
  <c r="F234"/>
  <c r="I234"/>
  <c r="B235"/>
  <c r="C235"/>
  <c r="D235"/>
  <c r="E235"/>
  <c r="G235"/>
  <c r="H235"/>
  <c r="F237"/>
  <c r="I237"/>
  <c r="F238"/>
  <c r="I238"/>
  <c r="F239"/>
  <c r="I239"/>
  <c r="F240"/>
  <c r="I240"/>
  <c r="B241"/>
  <c r="C241"/>
  <c r="D241"/>
  <c r="E241"/>
  <c r="G241"/>
  <c r="H241"/>
  <c r="F243"/>
  <c r="F244" s="1"/>
  <c r="I243"/>
  <c r="I244" s="1"/>
  <c r="GP38" i="184" s="1"/>
  <c r="B244" i="7"/>
  <c r="C244"/>
  <c r="D244"/>
  <c r="E244"/>
  <c r="G244"/>
  <c r="H244"/>
  <c r="F246"/>
  <c r="I246"/>
  <c r="F247"/>
  <c r="I247"/>
  <c r="F248"/>
  <c r="I248"/>
  <c r="F249"/>
  <c r="I249"/>
  <c r="B250"/>
  <c r="C250"/>
  <c r="D250"/>
  <c r="E250"/>
  <c r="G250"/>
  <c r="H250"/>
  <c r="F252"/>
  <c r="I252"/>
  <c r="F253"/>
  <c r="I253"/>
  <c r="B254"/>
  <c r="C254"/>
  <c r="D254"/>
  <c r="E254"/>
  <c r="G254"/>
  <c r="H254"/>
  <c r="F256"/>
  <c r="I256"/>
  <c r="F257"/>
  <c r="I257"/>
  <c r="F258"/>
  <c r="I258"/>
  <c r="B259"/>
  <c r="C259"/>
  <c r="D259"/>
  <c r="E259"/>
  <c r="G259"/>
  <c r="H259"/>
  <c r="F261"/>
  <c r="I261"/>
  <c r="F262"/>
  <c r="I262"/>
  <c r="F263"/>
  <c r="I263"/>
  <c r="B264"/>
  <c r="C264"/>
  <c r="D264"/>
  <c r="E264"/>
  <c r="G264"/>
  <c r="H264"/>
  <c r="F269"/>
  <c r="I269"/>
  <c r="F270"/>
  <c r="I270"/>
  <c r="F271"/>
  <c r="I271"/>
  <c r="F272"/>
  <c r="I272"/>
  <c r="B273"/>
  <c r="C273"/>
  <c r="D273"/>
  <c r="E273"/>
  <c r="G273"/>
  <c r="H273"/>
  <c r="F275"/>
  <c r="I275"/>
  <c r="F276"/>
  <c r="I276"/>
  <c r="F277"/>
  <c r="I277"/>
  <c r="B278"/>
  <c r="C278"/>
  <c r="D278"/>
  <c r="E278"/>
  <c r="G278"/>
  <c r="H278"/>
  <c r="F283"/>
  <c r="I283"/>
  <c r="F284"/>
  <c r="I284"/>
  <c r="F285"/>
  <c r="I285"/>
  <c r="B286"/>
  <c r="C286"/>
  <c r="D286"/>
  <c r="E286"/>
  <c r="G286"/>
  <c r="H286"/>
  <c r="F288"/>
  <c r="I288"/>
  <c r="F289"/>
  <c r="I289"/>
  <c r="F290"/>
  <c r="I290"/>
  <c r="F291"/>
  <c r="I291"/>
  <c r="B292"/>
  <c r="C292"/>
  <c r="D292"/>
  <c r="E292"/>
  <c r="G292"/>
  <c r="H292"/>
  <c r="F294"/>
  <c r="I294"/>
  <c r="F295"/>
  <c r="I295"/>
  <c r="F296"/>
  <c r="I296"/>
  <c r="F297"/>
  <c r="I297"/>
  <c r="B298"/>
  <c r="C298"/>
  <c r="D298"/>
  <c r="E298"/>
  <c r="G298"/>
  <c r="H298"/>
  <c r="F300"/>
  <c r="I300"/>
  <c r="F301"/>
  <c r="I301"/>
  <c r="F302"/>
  <c r="I302"/>
  <c r="B303"/>
  <c r="C303"/>
  <c r="D303"/>
  <c r="E303"/>
  <c r="G303"/>
  <c r="H303"/>
  <c r="F308"/>
  <c r="I308"/>
  <c r="F309"/>
  <c r="I309"/>
  <c r="F310"/>
  <c r="I310"/>
  <c r="F311"/>
  <c r="I311"/>
  <c r="B312"/>
  <c r="C312"/>
  <c r="D312"/>
  <c r="E312"/>
  <c r="G312"/>
  <c r="H312"/>
  <c r="F314"/>
  <c r="I314"/>
  <c r="F315"/>
  <c r="I315"/>
  <c r="F316"/>
  <c r="I316"/>
  <c r="F317"/>
  <c r="I317"/>
  <c r="B318"/>
  <c r="C318"/>
  <c r="D318"/>
  <c r="E318"/>
  <c r="G318"/>
  <c r="H318"/>
  <c r="F320"/>
  <c r="I320"/>
  <c r="F321"/>
  <c r="I321"/>
  <c r="F322"/>
  <c r="I322"/>
  <c r="F323"/>
  <c r="I323"/>
  <c r="B324"/>
  <c r="C324"/>
  <c r="D324"/>
  <c r="E324"/>
  <c r="G324"/>
  <c r="H324"/>
  <c r="F326"/>
  <c r="I326"/>
  <c r="F327"/>
  <c r="I327"/>
  <c r="F328"/>
  <c r="I328"/>
  <c r="F329"/>
  <c r="I329"/>
  <c r="F330"/>
  <c r="I330"/>
  <c r="B331"/>
  <c r="C331"/>
  <c r="D331"/>
  <c r="E331"/>
  <c r="G331"/>
  <c r="H331"/>
  <c r="F333"/>
  <c r="I333"/>
  <c r="F334"/>
  <c r="I334"/>
  <c r="F335"/>
  <c r="I335"/>
  <c r="F336"/>
  <c r="I336"/>
  <c r="B337"/>
  <c r="C337"/>
  <c r="D337"/>
  <c r="E337"/>
  <c r="G337"/>
  <c r="H337"/>
  <c r="F339"/>
  <c r="I339"/>
  <c r="F340"/>
  <c r="I340"/>
  <c r="F341"/>
  <c r="I341"/>
  <c r="F342"/>
  <c r="I342"/>
  <c r="B343"/>
  <c r="C343"/>
  <c r="D343"/>
  <c r="E343"/>
  <c r="G343"/>
  <c r="H343"/>
  <c r="F345"/>
  <c r="I345"/>
  <c r="F346"/>
  <c r="I346"/>
  <c r="F347"/>
  <c r="I347"/>
  <c r="B348"/>
  <c r="C348"/>
  <c r="D348"/>
  <c r="E348"/>
  <c r="G348"/>
  <c r="H348"/>
  <c r="F350"/>
  <c r="I350"/>
  <c r="F351"/>
  <c r="I351"/>
  <c r="F352"/>
  <c r="I352"/>
  <c r="F353"/>
  <c r="I353"/>
  <c r="F354"/>
  <c r="I354"/>
  <c r="B355"/>
  <c r="C355"/>
  <c r="D355"/>
  <c r="E355"/>
  <c r="G355"/>
  <c r="H355"/>
  <c r="F360"/>
  <c r="I360"/>
  <c r="F361"/>
  <c r="I361"/>
  <c r="F362"/>
  <c r="I362"/>
  <c r="F363"/>
  <c r="I363"/>
  <c r="F364"/>
  <c r="I364"/>
  <c r="B365"/>
  <c r="C365"/>
  <c r="D365"/>
  <c r="E365"/>
  <c r="G365"/>
  <c r="H365"/>
  <c r="F367"/>
  <c r="I367"/>
  <c r="F368"/>
  <c r="I368"/>
  <c r="F369"/>
  <c r="I369"/>
  <c r="F370"/>
  <c r="I370"/>
  <c r="F371"/>
  <c r="I371"/>
  <c r="B372"/>
  <c r="C372"/>
  <c r="D372"/>
  <c r="E372"/>
  <c r="G372"/>
  <c r="H372"/>
  <c r="J14" i="9"/>
  <c r="K14"/>
  <c r="J15"/>
  <c r="K15"/>
  <c r="J16"/>
  <c r="K16"/>
  <c r="J17"/>
  <c r="K17"/>
  <c r="J18"/>
  <c r="K18"/>
  <c r="B19"/>
  <c r="C19"/>
  <c r="D19"/>
  <c r="E19"/>
  <c r="F19"/>
  <c r="G19"/>
  <c r="H19"/>
  <c r="I19"/>
  <c r="J21"/>
  <c r="K21"/>
  <c r="J22"/>
  <c r="K22"/>
  <c r="J23"/>
  <c r="K23"/>
  <c r="J24"/>
  <c r="K24"/>
  <c r="J25"/>
  <c r="K25"/>
  <c r="J26"/>
  <c r="K26"/>
  <c r="B27"/>
  <c r="C27"/>
  <c r="D27"/>
  <c r="E27"/>
  <c r="F27"/>
  <c r="G27"/>
  <c r="H27"/>
  <c r="I27"/>
  <c r="J29"/>
  <c r="K29"/>
  <c r="J30"/>
  <c r="K30"/>
  <c r="J31"/>
  <c r="K31"/>
  <c r="J32"/>
  <c r="K32"/>
  <c r="J33"/>
  <c r="K33"/>
  <c r="J34"/>
  <c r="K34"/>
  <c r="J35"/>
  <c r="K35"/>
  <c r="J36"/>
  <c r="K36"/>
  <c r="J37"/>
  <c r="K37"/>
  <c r="B38"/>
  <c r="C38"/>
  <c r="D38"/>
  <c r="E38"/>
  <c r="F38"/>
  <c r="G38"/>
  <c r="H38"/>
  <c r="I38"/>
  <c r="J40"/>
  <c r="K40"/>
  <c r="J41"/>
  <c r="K41"/>
  <c r="J42"/>
  <c r="K42"/>
  <c r="B43"/>
  <c r="C43"/>
  <c r="D43"/>
  <c r="E43"/>
  <c r="F43"/>
  <c r="G43"/>
  <c r="H43"/>
  <c r="I43"/>
  <c r="J45"/>
  <c r="K45"/>
  <c r="J46"/>
  <c r="K46"/>
  <c r="J47"/>
  <c r="K47"/>
  <c r="J48"/>
  <c r="K48"/>
  <c r="J49"/>
  <c r="K49"/>
  <c r="J50"/>
  <c r="K50"/>
  <c r="B51"/>
  <c r="C51"/>
  <c r="D51"/>
  <c r="E51"/>
  <c r="F51"/>
  <c r="G51"/>
  <c r="H51"/>
  <c r="I51"/>
  <c r="J53"/>
  <c r="K53"/>
  <c r="J54"/>
  <c r="K54"/>
  <c r="J55"/>
  <c r="K55"/>
  <c r="J56"/>
  <c r="K56"/>
  <c r="J57"/>
  <c r="K57"/>
  <c r="J58"/>
  <c r="K58"/>
  <c r="J59"/>
  <c r="K59"/>
  <c r="J60"/>
  <c r="K60"/>
  <c r="J61"/>
  <c r="K61"/>
  <c r="J62"/>
  <c r="K62"/>
  <c r="J63"/>
  <c r="K63"/>
  <c r="B64"/>
  <c r="C64"/>
  <c r="D64"/>
  <c r="E64"/>
  <c r="F64"/>
  <c r="G64"/>
  <c r="H64"/>
  <c r="I64"/>
  <c r="J66"/>
  <c r="K66"/>
  <c r="J67"/>
  <c r="K67"/>
  <c r="B68"/>
  <c r="C68"/>
  <c r="D68"/>
  <c r="E68"/>
  <c r="F68"/>
  <c r="G68"/>
  <c r="H68"/>
  <c r="I68"/>
  <c r="J70"/>
  <c r="K70"/>
  <c r="J71"/>
  <c r="K71"/>
  <c r="J72"/>
  <c r="K72"/>
  <c r="J73"/>
  <c r="K73"/>
  <c r="B74"/>
  <c r="C74"/>
  <c r="D74"/>
  <c r="E74"/>
  <c r="F74"/>
  <c r="G74"/>
  <c r="H74"/>
  <c r="I74"/>
  <c r="J76"/>
  <c r="K76"/>
  <c r="J77"/>
  <c r="K77"/>
  <c r="J78"/>
  <c r="K78"/>
  <c r="J79"/>
  <c r="K79"/>
  <c r="J80"/>
  <c r="K80"/>
  <c r="J81"/>
  <c r="K81"/>
  <c r="J82"/>
  <c r="K82"/>
  <c r="J83"/>
  <c r="K83"/>
  <c r="B84"/>
  <c r="C84"/>
  <c r="D84"/>
  <c r="E84"/>
  <c r="F84"/>
  <c r="G84"/>
  <c r="H84"/>
  <c r="I84"/>
  <c r="J86"/>
  <c r="K86"/>
  <c r="J87"/>
  <c r="K87"/>
  <c r="B88"/>
  <c r="C88"/>
  <c r="D88"/>
  <c r="E88"/>
  <c r="F88"/>
  <c r="G88"/>
  <c r="H88"/>
  <c r="I88"/>
  <c r="C11" i="11"/>
  <c r="D11"/>
  <c r="C14"/>
  <c r="D14"/>
  <c r="C17"/>
  <c r="D17"/>
  <c r="C32" i="96"/>
  <c r="D32"/>
  <c r="C36"/>
  <c r="D36"/>
  <c r="C40"/>
  <c r="D40"/>
  <c r="C44"/>
  <c r="D44"/>
  <c r="C48"/>
  <c r="D48"/>
  <c r="C52"/>
  <c r="D52"/>
  <c r="C56"/>
  <c r="D56"/>
  <c r="C60"/>
  <c r="D60"/>
  <c r="C64"/>
  <c r="D64"/>
  <c r="C68"/>
  <c r="D68"/>
  <c r="K15" i="97"/>
  <c r="GQ2" i="184" s="1"/>
  <c r="K16" i="97"/>
  <c r="GQ3" i="184" s="1"/>
  <c r="GZ3" s="1"/>
  <c r="K17" i="97"/>
  <c r="GQ4" i="184" s="1"/>
  <c r="GZ4" s="1"/>
  <c r="K18" i="97"/>
  <c r="GQ5" i="184" s="1"/>
  <c r="GZ5" s="1"/>
  <c r="K19" i="97"/>
  <c r="GQ6" i="184" s="1"/>
  <c r="GZ6" s="1"/>
  <c r="B20" i="97"/>
  <c r="C20"/>
  <c r="D20"/>
  <c r="E20"/>
  <c r="F20"/>
  <c r="G20"/>
  <c r="H20"/>
  <c r="I20"/>
  <c r="J20"/>
  <c r="L20"/>
  <c r="M20"/>
  <c r="N20"/>
  <c r="O20"/>
  <c r="P20"/>
  <c r="Q20"/>
  <c r="R20"/>
  <c r="S20"/>
  <c r="T20"/>
  <c r="K22"/>
  <c r="GQ7" i="184" s="1"/>
  <c r="GZ7" s="1"/>
  <c r="K23" i="97"/>
  <c r="GQ8" i="184" s="1"/>
  <c r="GZ8" s="1"/>
  <c r="K24" i="97"/>
  <c r="GQ9" i="184" s="1"/>
  <c r="GZ9" s="1"/>
  <c r="K25" i="97"/>
  <c r="GQ10" i="184" s="1"/>
  <c r="GZ10" s="1"/>
  <c r="K26" i="97"/>
  <c r="GQ11" i="184" s="1"/>
  <c r="GZ11" s="1"/>
  <c r="K27" i="97"/>
  <c r="GQ12" i="184" s="1"/>
  <c r="GZ12" s="1"/>
  <c r="B28" i="97"/>
  <c r="C28"/>
  <c r="D28"/>
  <c r="E28"/>
  <c r="F28"/>
  <c r="G28"/>
  <c r="H28"/>
  <c r="I28"/>
  <c r="J28"/>
  <c r="L28"/>
  <c r="M28"/>
  <c r="N28"/>
  <c r="O28"/>
  <c r="P28"/>
  <c r="Q28"/>
  <c r="R28"/>
  <c r="S28"/>
  <c r="T28"/>
  <c r="K30"/>
  <c r="GQ13" i="184" s="1"/>
  <c r="GZ13" s="1"/>
  <c r="K31" i="97"/>
  <c r="GQ14" i="184" s="1"/>
  <c r="GZ14" s="1"/>
  <c r="K32" i="97"/>
  <c r="GQ15" i="184" s="1"/>
  <c r="GZ15" s="1"/>
  <c r="K33" i="97"/>
  <c r="GQ16" i="184" s="1"/>
  <c r="GZ16" s="1"/>
  <c r="K34" i="97"/>
  <c r="GQ17" i="184" s="1"/>
  <c r="GZ17" s="1"/>
  <c r="K35" i="97"/>
  <c r="GQ18" i="184" s="1"/>
  <c r="GZ18" s="1"/>
  <c r="K36" i="97"/>
  <c r="GQ19" i="184" s="1"/>
  <c r="GZ19" s="1"/>
  <c r="K37" i="97"/>
  <c r="GQ20" i="184" s="1"/>
  <c r="GZ20" s="1"/>
  <c r="K38" i="97"/>
  <c r="GQ21" i="184" s="1"/>
  <c r="GZ21" s="1"/>
  <c r="B39" i="97"/>
  <c r="C39"/>
  <c r="D39"/>
  <c r="E39"/>
  <c r="F39"/>
  <c r="G39"/>
  <c r="H39"/>
  <c r="I39"/>
  <c r="J39"/>
  <c r="L39"/>
  <c r="M39"/>
  <c r="O75" i="184" s="1"/>
  <c r="N39" i="97"/>
  <c r="O39"/>
  <c r="P39"/>
  <c r="Q39"/>
  <c r="R39"/>
  <c r="S39"/>
  <c r="T39"/>
  <c r="K41"/>
  <c r="GQ22" i="184" s="1"/>
  <c r="GZ22" s="1"/>
  <c r="K42" i="97"/>
  <c r="GQ23" i="184" s="1"/>
  <c r="GZ23" s="1"/>
  <c r="K43" i="97"/>
  <c r="GQ24" i="184" s="1"/>
  <c r="GZ24" s="1"/>
  <c r="B44" i="97"/>
  <c r="C44"/>
  <c r="D44"/>
  <c r="E44"/>
  <c r="F44"/>
  <c r="G44"/>
  <c r="H44"/>
  <c r="I44"/>
  <c r="J44"/>
  <c r="L44"/>
  <c r="M44"/>
  <c r="O76" i="184" s="1"/>
  <c r="N44" i="97"/>
  <c r="O44"/>
  <c r="P44"/>
  <c r="Q44"/>
  <c r="R44"/>
  <c r="S44"/>
  <c r="T44"/>
  <c r="K46"/>
  <c r="GQ25" i="184" s="1"/>
  <c r="GZ25" s="1"/>
  <c r="K47" i="97"/>
  <c r="GQ26" i="184" s="1"/>
  <c r="GZ26" s="1"/>
  <c r="K48" i="97"/>
  <c r="GQ27" i="184" s="1"/>
  <c r="GZ27" s="1"/>
  <c r="K49" i="97"/>
  <c r="GQ28" i="184" s="1"/>
  <c r="GZ28" s="1"/>
  <c r="K50" i="97"/>
  <c r="GQ29" i="184" s="1"/>
  <c r="GZ29" s="1"/>
  <c r="K51" i="97"/>
  <c r="GQ30" i="184" s="1"/>
  <c r="GZ30" s="1"/>
  <c r="B52" i="97"/>
  <c r="C52"/>
  <c r="D52"/>
  <c r="E52"/>
  <c r="F52"/>
  <c r="G52"/>
  <c r="H52"/>
  <c r="I52"/>
  <c r="J52"/>
  <c r="L52"/>
  <c r="M52"/>
  <c r="N52"/>
  <c r="O52"/>
  <c r="P52"/>
  <c r="Q52"/>
  <c r="R52"/>
  <c r="S52"/>
  <c r="T52"/>
  <c r="K54"/>
  <c r="GQ31" i="184" s="1"/>
  <c r="GZ31" s="1"/>
  <c r="K55" i="97"/>
  <c r="GQ32" i="184" s="1"/>
  <c r="GZ32" s="1"/>
  <c r="K56" i="97"/>
  <c r="GQ33" i="184" s="1"/>
  <c r="GZ33" s="1"/>
  <c r="K57" i="97"/>
  <c r="GQ34" i="184" s="1"/>
  <c r="GZ34" s="1"/>
  <c r="K58" i="97"/>
  <c r="GQ35" i="184" s="1"/>
  <c r="GZ35" s="1"/>
  <c r="K59" i="97"/>
  <c r="GQ36" i="184" s="1"/>
  <c r="GZ36" s="1"/>
  <c r="K60" i="97"/>
  <c r="GQ38" i="184" s="1"/>
  <c r="GZ38" s="1"/>
  <c r="K61" i="97"/>
  <c r="GQ39" i="184" s="1"/>
  <c r="GZ39" s="1"/>
  <c r="K62" i="97"/>
  <c r="GQ40" i="184" s="1"/>
  <c r="GZ40" s="1"/>
  <c r="K63" i="97"/>
  <c r="GQ41" i="184" s="1"/>
  <c r="GZ41" s="1"/>
  <c r="K64" i="97"/>
  <c r="GQ42" i="184" s="1"/>
  <c r="GZ42" s="1"/>
  <c r="B65" i="97"/>
  <c r="C65"/>
  <c r="D65"/>
  <c r="E65"/>
  <c r="F65"/>
  <c r="G65"/>
  <c r="H65"/>
  <c r="I65"/>
  <c r="J65"/>
  <c r="L65"/>
  <c r="M65"/>
  <c r="N65"/>
  <c r="O65"/>
  <c r="P65"/>
  <c r="Q65"/>
  <c r="R65"/>
  <c r="S65"/>
  <c r="T65"/>
  <c r="K67"/>
  <c r="GQ43" i="184" s="1"/>
  <c r="GZ43" s="1"/>
  <c r="K68" i="97"/>
  <c r="GQ44" i="184" s="1"/>
  <c r="GZ44" s="1"/>
  <c r="B69" i="97"/>
  <c r="C69"/>
  <c r="D69"/>
  <c r="E69"/>
  <c r="F69"/>
  <c r="G69"/>
  <c r="H69"/>
  <c r="I69"/>
  <c r="J69"/>
  <c r="L69"/>
  <c r="M69"/>
  <c r="N69"/>
  <c r="O69"/>
  <c r="P69"/>
  <c r="Q69"/>
  <c r="R69"/>
  <c r="S69"/>
  <c r="T69"/>
  <c r="K71"/>
  <c r="GQ45" i="184" s="1"/>
  <c r="GZ45" s="1"/>
  <c r="K72" i="97"/>
  <c r="GQ46" i="184" s="1"/>
  <c r="GZ46" s="1"/>
  <c r="K73" i="97"/>
  <c r="GQ47" i="184" s="1"/>
  <c r="GZ47" s="1"/>
  <c r="K74" i="97"/>
  <c r="GQ48" i="184" s="1"/>
  <c r="GZ48" s="1"/>
  <c r="B75" i="97"/>
  <c r="C75"/>
  <c r="D75"/>
  <c r="E75"/>
  <c r="F75"/>
  <c r="G75"/>
  <c r="H75"/>
  <c r="I75"/>
  <c r="J75"/>
  <c r="L75"/>
  <c r="M75"/>
  <c r="N75"/>
  <c r="O75"/>
  <c r="P75"/>
  <c r="Q75"/>
  <c r="R75"/>
  <c r="S75"/>
  <c r="T75"/>
  <c r="K77"/>
  <c r="GQ49" i="184" s="1"/>
  <c r="GZ49" s="1"/>
  <c r="K78" i="97"/>
  <c r="GQ50" i="184" s="1"/>
  <c r="GZ50" s="1"/>
  <c r="K79" i="97"/>
  <c r="GQ51" i="184" s="1"/>
  <c r="GZ51" s="1"/>
  <c r="K80" i="97"/>
  <c r="GQ52" i="184" s="1"/>
  <c r="GZ52" s="1"/>
  <c r="K81" i="97"/>
  <c r="GQ53" i="184" s="1"/>
  <c r="GZ53" s="1"/>
  <c r="K82" i="97"/>
  <c r="GQ54" i="184" s="1"/>
  <c r="GZ54" s="1"/>
  <c r="K83" i="97"/>
  <c r="GQ55" i="184" s="1"/>
  <c r="GZ55" s="1"/>
  <c r="K84" i="97"/>
  <c r="GQ56" i="184" s="1"/>
  <c r="GZ56" s="1"/>
  <c r="B85" i="97"/>
  <c r="C85"/>
  <c r="D85"/>
  <c r="E85"/>
  <c r="F85"/>
  <c r="G85"/>
  <c r="H85"/>
  <c r="I85"/>
  <c r="J85"/>
  <c r="L85"/>
  <c r="M85"/>
  <c r="N85"/>
  <c r="O85"/>
  <c r="P85"/>
  <c r="Q85"/>
  <c r="R85"/>
  <c r="S85"/>
  <c r="T85"/>
  <c r="K87"/>
  <c r="GQ57" i="184" s="1"/>
  <c r="GZ57" s="1"/>
  <c r="K88" i="97"/>
  <c r="GQ58" i="184" s="1"/>
  <c r="GZ58" s="1"/>
  <c r="B89" i="97"/>
  <c r="C89"/>
  <c r="D89"/>
  <c r="E89"/>
  <c r="F89"/>
  <c r="G89"/>
  <c r="H89"/>
  <c r="I89"/>
  <c r="J89"/>
  <c r="L89"/>
  <c r="M89"/>
  <c r="N89"/>
  <c r="O89"/>
  <c r="P89"/>
  <c r="Q89"/>
  <c r="R89"/>
  <c r="S89"/>
  <c r="T89"/>
  <c r="J15" i="16"/>
  <c r="K15"/>
  <c r="J16"/>
  <c r="K16"/>
  <c r="J17"/>
  <c r="K17"/>
  <c r="J18"/>
  <c r="K18"/>
  <c r="J19"/>
  <c r="K19"/>
  <c r="B20"/>
  <c r="C20"/>
  <c r="D20"/>
  <c r="E20"/>
  <c r="F20"/>
  <c r="G20"/>
  <c r="H20"/>
  <c r="I20"/>
  <c r="J22"/>
  <c r="K22"/>
  <c r="J23"/>
  <c r="K23"/>
  <c r="J24"/>
  <c r="K24"/>
  <c r="J25"/>
  <c r="K25"/>
  <c r="J26"/>
  <c r="K26"/>
  <c r="J27"/>
  <c r="K27"/>
  <c r="B28"/>
  <c r="C28"/>
  <c r="D28"/>
  <c r="E28"/>
  <c r="F28"/>
  <c r="G28"/>
  <c r="H28"/>
  <c r="I28"/>
  <c r="J30"/>
  <c r="K30"/>
  <c r="J31"/>
  <c r="K31"/>
  <c r="J32"/>
  <c r="K32"/>
  <c r="J33"/>
  <c r="K33"/>
  <c r="J34"/>
  <c r="K34"/>
  <c r="J35"/>
  <c r="K35"/>
  <c r="J36"/>
  <c r="K36"/>
  <c r="J37"/>
  <c r="K37"/>
  <c r="J38"/>
  <c r="K38"/>
  <c r="B39"/>
  <c r="C39"/>
  <c r="D39"/>
  <c r="E39"/>
  <c r="F39"/>
  <c r="G39"/>
  <c r="H39"/>
  <c r="I39"/>
  <c r="J41"/>
  <c r="K41"/>
  <c r="J42"/>
  <c r="K42"/>
  <c r="J43"/>
  <c r="K43"/>
  <c r="B44"/>
  <c r="C44"/>
  <c r="D44"/>
  <c r="E44"/>
  <c r="F44"/>
  <c r="G44"/>
  <c r="H44"/>
  <c r="I44"/>
  <c r="J46"/>
  <c r="K46"/>
  <c r="J47"/>
  <c r="K47"/>
  <c r="J48"/>
  <c r="K48"/>
  <c r="J49"/>
  <c r="K49"/>
  <c r="J50"/>
  <c r="K50"/>
  <c r="J51"/>
  <c r="K51"/>
  <c r="B52"/>
  <c r="C52"/>
  <c r="D52"/>
  <c r="E52"/>
  <c r="F52"/>
  <c r="G52"/>
  <c r="H52"/>
  <c r="I52"/>
  <c r="J54"/>
  <c r="K54"/>
  <c r="J55"/>
  <c r="K55"/>
  <c r="J56"/>
  <c r="K56"/>
  <c r="J57"/>
  <c r="K57"/>
  <c r="J58"/>
  <c r="K58"/>
  <c r="J59"/>
  <c r="K59"/>
  <c r="J60"/>
  <c r="K60"/>
  <c r="J61"/>
  <c r="K61"/>
  <c r="J62"/>
  <c r="K62"/>
  <c r="J63"/>
  <c r="K63"/>
  <c r="J64"/>
  <c r="K64"/>
  <c r="B65"/>
  <c r="C65"/>
  <c r="D65"/>
  <c r="E65"/>
  <c r="F65"/>
  <c r="G65"/>
  <c r="H65"/>
  <c r="I65"/>
  <c r="J67"/>
  <c r="K67"/>
  <c r="J68"/>
  <c r="K68"/>
  <c r="B69"/>
  <c r="C69"/>
  <c r="D69"/>
  <c r="E69"/>
  <c r="F69"/>
  <c r="G69"/>
  <c r="H69"/>
  <c r="I69"/>
  <c r="J71"/>
  <c r="K71"/>
  <c r="J72"/>
  <c r="K72"/>
  <c r="J73"/>
  <c r="K73"/>
  <c r="J74"/>
  <c r="K74"/>
  <c r="B75"/>
  <c r="C75"/>
  <c r="D75"/>
  <c r="E75"/>
  <c r="F75"/>
  <c r="G75"/>
  <c r="H75"/>
  <c r="I75"/>
  <c r="J77"/>
  <c r="K77"/>
  <c r="J78"/>
  <c r="K78"/>
  <c r="J79"/>
  <c r="K79"/>
  <c r="J80"/>
  <c r="K80"/>
  <c r="J81"/>
  <c r="K81"/>
  <c r="J82"/>
  <c r="K82"/>
  <c r="J83"/>
  <c r="K83"/>
  <c r="J84"/>
  <c r="K84"/>
  <c r="B85"/>
  <c r="C85"/>
  <c r="D85"/>
  <c r="E85"/>
  <c r="F85"/>
  <c r="G85"/>
  <c r="H85"/>
  <c r="I85"/>
  <c r="J87"/>
  <c r="K87"/>
  <c r="J88"/>
  <c r="K88"/>
  <c r="B89"/>
  <c r="C89"/>
  <c r="D89"/>
  <c r="E89"/>
  <c r="F89"/>
  <c r="G89"/>
  <c r="H89"/>
  <c r="I89"/>
  <c r="C11" i="18"/>
  <c r="D11"/>
  <c r="C14"/>
  <c r="D14"/>
  <c r="C17"/>
  <c r="D17"/>
  <c r="C31" i="98"/>
  <c r="D31"/>
  <c r="C35"/>
  <c r="D35"/>
  <c r="C39"/>
  <c r="D39"/>
  <c r="C43"/>
  <c r="D43"/>
  <c r="C47"/>
  <c r="D47"/>
  <c r="C51"/>
  <c r="D51"/>
  <c r="C55"/>
  <c r="D55"/>
  <c r="C59"/>
  <c r="D59"/>
  <c r="C63"/>
  <c r="D63"/>
  <c r="C67"/>
  <c r="D67"/>
  <c r="F16" i="99"/>
  <c r="J16"/>
  <c r="F18"/>
  <c r="J18"/>
  <c r="F20"/>
  <c r="J20"/>
  <c r="F22"/>
  <c r="J22"/>
  <c r="F24"/>
  <c r="I71" i="184" s="1"/>
  <c r="J24" i="99"/>
  <c r="F26"/>
  <c r="I69" i="184" s="1"/>
  <c r="J26" i="99"/>
  <c r="F28"/>
  <c r="J28"/>
  <c r="F30"/>
  <c r="J30"/>
  <c r="F32"/>
  <c r="J32"/>
  <c r="F34"/>
  <c r="J34"/>
  <c r="F36"/>
  <c r="J36"/>
  <c r="D38"/>
  <c r="E38"/>
  <c r="H38"/>
  <c r="I38"/>
  <c r="F61"/>
  <c r="F63"/>
  <c r="F65"/>
  <c r="F67"/>
  <c r="F69"/>
  <c r="F71"/>
  <c r="F73"/>
  <c r="F75"/>
  <c r="F77"/>
  <c r="F79"/>
  <c r="F81"/>
  <c r="D83"/>
  <c r="E83"/>
  <c r="B14" i="22"/>
  <c r="C14"/>
  <c r="E14"/>
  <c r="F14"/>
  <c r="D10" i="24"/>
  <c r="D11"/>
  <c r="D12"/>
  <c r="D13"/>
  <c r="D14"/>
  <c r="D15"/>
  <c r="D18"/>
  <c r="D19"/>
  <c r="D20"/>
  <c r="D21"/>
  <c r="D26"/>
  <c r="D27"/>
  <c r="D28"/>
  <c r="D31"/>
  <c r="D32"/>
  <c r="D62"/>
  <c r="D63"/>
  <c r="D64"/>
  <c r="D65"/>
  <c r="F21" i="100"/>
  <c r="J21"/>
  <c r="F22"/>
  <c r="J22"/>
  <c r="F23"/>
  <c r="J23"/>
  <c r="F24"/>
  <c r="AF88" i="184" s="1"/>
  <c r="J24" i="100"/>
  <c r="F25"/>
  <c r="J25"/>
  <c r="C26"/>
  <c r="C41" s="1"/>
  <c r="D26"/>
  <c r="D41" s="1"/>
  <c r="E26"/>
  <c r="E41" s="1"/>
  <c r="G26"/>
  <c r="G41" s="1"/>
  <c r="H26"/>
  <c r="H41" s="1"/>
  <c r="I26"/>
  <c r="I41" s="1"/>
  <c r="F27"/>
  <c r="J27"/>
  <c r="F28"/>
  <c r="J28"/>
  <c r="F29"/>
  <c r="J29"/>
  <c r="F30"/>
  <c r="AF93" i="184" s="1"/>
  <c r="J30" i="100"/>
  <c r="F31"/>
  <c r="J31"/>
  <c r="F32"/>
  <c r="J32"/>
  <c r="F33"/>
  <c r="J33"/>
  <c r="F34"/>
  <c r="J34"/>
  <c r="F35"/>
  <c r="J35"/>
  <c r="F36"/>
  <c r="J36"/>
  <c r="F37"/>
  <c r="J37"/>
  <c r="F38"/>
  <c r="AF104" i="184" s="1"/>
  <c r="J38" i="100"/>
  <c r="F39"/>
  <c r="J39"/>
  <c r="F40"/>
  <c r="J40"/>
  <c r="F51"/>
  <c r="J51"/>
  <c r="F52"/>
  <c r="AG87" i="184" s="1"/>
  <c r="J52" i="100"/>
  <c r="F53"/>
  <c r="AG88" i="184" s="1"/>
  <c r="J53" i="100"/>
  <c r="F54"/>
  <c r="J54"/>
  <c r="F55"/>
  <c r="J55"/>
  <c r="F56"/>
  <c r="AG97" i="184" s="1"/>
  <c r="J56" i="100"/>
  <c r="F57"/>
  <c r="AG98" i="184" s="1"/>
  <c r="J57" i="100"/>
  <c r="F58"/>
  <c r="J58"/>
  <c r="F59"/>
  <c r="J59"/>
  <c r="F60"/>
  <c r="J60"/>
  <c r="F61"/>
  <c r="J61"/>
  <c r="F62"/>
  <c r="J62"/>
  <c r="F63"/>
  <c r="J63"/>
  <c r="F64"/>
  <c r="AG103" i="184" s="1"/>
  <c r="J64" i="100"/>
  <c r="C65"/>
  <c r="D65"/>
  <c r="E65"/>
  <c r="G65"/>
  <c r="H65"/>
  <c r="I65"/>
  <c r="B21" i="28"/>
  <c r="C21"/>
  <c r="D21"/>
  <c r="E21"/>
  <c r="F21"/>
  <c r="G21"/>
  <c r="H21"/>
  <c r="I21"/>
  <c r="J21"/>
  <c r="K21"/>
  <c r="B37"/>
  <c r="C37"/>
  <c r="D37"/>
  <c r="E37"/>
  <c r="F37"/>
  <c r="G37"/>
  <c r="H37"/>
  <c r="I37"/>
  <c r="J37"/>
  <c r="K37"/>
  <c r="B53"/>
  <c r="C53"/>
  <c r="S17" i="101"/>
  <c r="S18"/>
  <c r="S19"/>
  <c r="S20"/>
  <c r="S21"/>
  <c r="B22"/>
  <c r="C22"/>
  <c r="D22"/>
  <c r="E22"/>
  <c r="F22"/>
  <c r="G22"/>
  <c r="H22"/>
  <c r="I22"/>
  <c r="J22"/>
  <c r="K22"/>
  <c r="L22"/>
  <c r="M22"/>
  <c r="N22"/>
  <c r="O22"/>
  <c r="P22"/>
  <c r="Q22"/>
  <c r="R22"/>
  <c r="T22"/>
  <c r="U22"/>
  <c r="V22"/>
  <c r="W22"/>
  <c r="S24"/>
  <c r="S25"/>
  <c r="S26"/>
  <c r="S27"/>
  <c r="S28"/>
  <c r="S29"/>
  <c r="B30"/>
  <c r="C30"/>
  <c r="D30"/>
  <c r="E30"/>
  <c r="F30"/>
  <c r="G30"/>
  <c r="H30"/>
  <c r="I30"/>
  <c r="J30"/>
  <c r="K30"/>
  <c r="L30"/>
  <c r="M30"/>
  <c r="N30"/>
  <c r="O30"/>
  <c r="P30"/>
  <c r="Q30"/>
  <c r="R30"/>
  <c r="T30"/>
  <c r="U30"/>
  <c r="V30"/>
  <c r="W30"/>
  <c r="S32"/>
  <c r="S33"/>
  <c r="S34"/>
  <c r="S35"/>
  <c r="S36"/>
  <c r="S37"/>
  <c r="S38"/>
  <c r="S39"/>
  <c r="S40"/>
  <c r="B41"/>
  <c r="C41"/>
  <c r="D41"/>
  <c r="E41"/>
  <c r="F41"/>
  <c r="G41"/>
  <c r="H41"/>
  <c r="I41"/>
  <c r="J41"/>
  <c r="K41"/>
  <c r="L41"/>
  <c r="M41"/>
  <c r="N41"/>
  <c r="O41"/>
  <c r="P41"/>
  <c r="Q41"/>
  <c r="R41"/>
  <c r="T41"/>
  <c r="U41"/>
  <c r="V41"/>
  <c r="W41"/>
  <c r="S43"/>
  <c r="S44"/>
  <c r="S45"/>
  <c r="B46"/>
  <c r="C46"/>
  <c r="D46"/>
  <c r="E46"/>
  <c r="F46"/>
  <c r="G46"/>
  <c r="H46"/>
  <c r="I46"/>
  <c r="J46"/>
  <c r="K46"/>
  <c r="L46"/>
  <c r="M46"/>
  <c r="N46"/>
  <c r="O46"/>
  <c r="P46"/>
  <c r="Q46"/>
  <c r="R46"/>
  <c r="T46"/>
  <c r="U46"/>
  <c r="V46"/>
  <c r="W46"/>
  <c r="S48"/>
  <c r="S49"/>
  <c r="S50"/>
  <c r="S51"/>
  <c r="S52"/>
  <c r="S53"/>
  <c r="B54"/>
  <c r="C54"/>
  <c r="D54"/>
  <c r="E54"/>
  <c r="F54"/>
  <c r="G54"/>
  <c r="H54"/>
  <c r="I54"/>
  <c r="J54"/>
  <c r="K54"/>
  <c r="L54"/>
  <c r="M54"/>
  <c r="N54"/>
  <c r="O54"/>
  <c r="P54"/>
  <c r="Q54"/>
  <c r="R54"/>
  <c r="T54"/>
  <c r="U54"/>
  <c r="V54"/>
  <c r="W54"/>
  <c r="S56"/>
  <c r="S57"/>
  <c r="S58"/>
  <c r="S59"/>
  <c r="S60"/>
  <c r="S61"/>
  <c r="S62"/>
  <c r="S63"/>
  <c r="S64"/>
  <c r="S65"/>
  <c r="S66"/>
  <c r="B67"/>
  <c r="C67"/>
  <c r="D67"/>
  <c r="E67"/>
  <c r="F67"/>
  <c r="G67"/>
  <c r="H67"/>
  <c r="I67"/>
  <c r="J67"/>
  <c r="K67"/>
  <c r="L67"/>
  <c r="M67"/>
  <c r="N67"/>
  <c r="O67"/>
  <c r="P67"/>
  <c r="Q67"/>
  <c r="R67"/>
  <c r="T67"/>
  <c r="U67"/>
  <c r="V67"/>
  <c r="W67"/>
  <c r="S69"/>
  <c r="S70"/>
  <c r="B71"/>
  <c r="C71"/>
  <c r="D71"/>
  <c r="E71"/>
  <c r="F71"/>
  <c r="G71"/>
  <c r="H71"/>
  <c r="I71"/>
  <c r="J71"/>
  <c r="K71"/>
  <c r="L71"/>
  <c r="M71"/>
  <c r="N71"/>
  <c r="O71"/>
  <c r="P71"/>
  <c r="Q71"/>
  <c r="R71"/>
  <c r="T71"/>
  <c r="U71"/>
  <c r="V71"/>
  <c r="W71"/>
  <c r="S73"/>
  <c r="S74"/>
  <c r="S75"/>
  <c r="S76"/>
  <c r="B77"/>
  <c r="C77"/>
  <c r="D77"/>
  <c r="E77"/>
  <c r="F77"/>
  <c r="G77"/>
  <c r="H77"/>
  <c r="I77"/>
  <c r="J77"/>
  <c r="K77"/>
  <c r="L77"/>
  <c r="M77"/>
  <c r="N77"/>
  <c r="O77"/>
  <c r="P77"/>
  <c r="Q77"/>
  <c r="R77"/>
  <c r="T77"/>
  <c r="U77"/>
  <c r="V77"/>
  <c r="W77"/>
  <c r="S79"/>
  <c r="S80"/>
  <c r="S81"/>
  <c r="S82"/>
  <c r="S83"/>
  <c r="S84"/>
  <c r="S85"/>
  <c r="S86"/>
  <c r="B87"/>
  <c r="C87"/>
  <c r="D87"/>
  <c r="E87"/>
  <c r="F87"/>
  <c r="G87"/>
  <c r="H87"/>
  <c r="I87"/>
  <c r="J87"/>
  <c r="K87"/>
  <c r="L87"/>
  <c r="M87"/>
  <c r="N87"/>
  <c r="O87"/>
  <c r="P87"/>
  <c r="Q87"/>
  <c r="R87"/>
  <c r="T87"/>
  <c r="U87"/>
  <c r="V87"/>
  <c r="W87"/>
  <c r="S89"/>
  <c r="S90"/>
  <c r="B91"/>
  <c r="C91"/>
  <c r="D91"/>
  <c r="E91"/>
  <c r="F91"/>
  <c r="G91"/>
  <c r="H91"/>
  <c r="I91"/>
  <c r="J91"/>
  <c r="K91"/>
  <c r="L91"/>
  <c r="M91"/>
  <c r="N91"/>
  <c r="O91"/>
  <c r="P91"/>
  <c r="Q91"/>
  <c r="R91"/>
  <c r="T91"/>
  <c r="U91"/>
  <c r="V91"/>
  <c r="W91"/>
  <c r="F12" i="102"/>
  <c r="AG124" i="184" s="1"/>
  <c r="F13" i="102"/>
  <c r="AG122" i="184" s="1"/>
  <c r="F14" i="102"/>
  <c r="AG125" i="184" s="1"/>
  <c r="F22" i="102"/>
  <c r="F23"/>
  <c r="F24"/>
  <c r="F25"/>
  <c r="F26"/>
  <c r="B27"/>
  <c r="C27"/>
  <c r="D27"/>
  <c r="E27"/>
  <c r="F29"/>
  <c r="F30"/>
  <c r="F31"/>
  <c r="F32"/>
  <c r="F33"/>
  <c r="F34"/>
  <c r="B35"/>
  <c r="C35"/>
  <c r="D35"/>
  <c r="E35"/>
  <c r="F37"/>
  <c r="F38"/>
  <c r="F39"/>
  <c r="F40"/>
  <c r="F41"/>
  <c r="F42"/>
  <c r="F43"/>
  <c r="F44"/>
  <c r="F45"/>
  <c r="B46"/>
  <c r="C46"/>
  <c r="D46"/>
  <c r="E46"/>
  <c r="F48"/>
  <c r="F49"/>
  <c r="F50"/>
  <c r="B51"/>
  <c r="C51"/>
  <c r="D51"/>
  <c r="E51"/>
  <c r="F53"/>
  <c r="F54"/>
  <c r="F55"/>
  <c r="F56"/>
  <c r="F57"/>
  <c r="F58"/>
  <c r="B59"/>
  <c r="C59"/>
  <c r="D59"/>
  <c r="E59"/>
  <c r="F61"/>
  <c r="F62"/>
  <c r="F63"/>
  <c r="F64"/>
  <c r="F65"/>
  <c r="F66"/>
  <c r="F67"/>
  <c r="F68"/>
  <c r="F69"/>
  <c r="F70"/>
  <c r="F71"/>
  <c r="B72"/>
  <c r="C72"/>
  <c r="D72"/>
  <c r="E72"/>
  <c r="F74"/>
  <c r="F75"/>
  <c r="B76"/>
  <c r="C76"/>
  <c r="D76"/>
  <c r="E76"/>
  <c r="F78"/>
  <c r="F79"/>
  <c r="F80"/>
  <c r="F81"/>
  <c r="B82"/>
  <c r="C82"/>
  <c r="D82"/>
  <c r="E82"/>
  <c r="F84"/>
  <c r="F85"/>
  <c r="F86"/>
  <c r="F87"/>
  <c r="F88"/>
  <c r="F89"/>
  <c r="F90"/>
  <c r="F91"/>
  <c r="B92"/>
  <c r="C92"/>
  <c r="D92"/>
  <c r="E92"/>
  <c r="F94"/>
  <c r="F95"/>
  <c r="B96"/>
  <c r="C96"/>
  <c r="D96"/>
  <c r="E96"/>
  <c r="B23" i="36"/>
  <c r="C23"/>
  <c r="D23"/>
  <c r="E23"/>
  <c r="F23"/>
  <c r="G23"/>
  <c r="B8" i="39"/>
  <c r="B16"/>
  <c r="B20"/>
  <c r="C23" i="40"/>
  <c r="D23"/>
  <c r="E23"/>
  <c r="C35"/>
  <c r="D35"/>
  <c r="E35"/>
  <c r="C37"/>
  <c r="H75" i="184" s="1"/>
  <c r="D37" i="40"/>
  <c r="I75" i="184" s="1"/>
  <c r="E37" i="40"/>
  <c r="J75" i="184" s="1"/>
  <c r="C38" i="40"/>
  <c r="H76" i="184" s="1"/>
  <c r="D38" i="40"/>
  <c r="I76" i="184" s="1"/>
  <c r="E38" i="40"/>
  <c r="J76" i="184" s="1"/>
  <c r="C39" i="40"/>
  <c r="H77" i="184" s="1"/>
  <c r="K77" s="1"/>
  <c r="D39" i="40"/>
  <c r="I77" i="184" s="1"/>
  <c r="E39" i="40"/>
  <c r="J77" i="184" s="1"/>
  <c r="C40" i="40"/>
  <c r="H78" i="184" s="1"/>
  <c r="D40" i="40"/>
  <c r="I78" i="184" s="1"/>
  <c r="E40" i="40"/>
  <c r="J78" i="184" s="1"/>
  <c r="C41" i="40"/>
  <c r="H79" i="184" s="1"/>
  <c r="D41" i="40"/>
  <c r="I79" i="184" s="1"/>
  <c r="E41" i="40"/>
  <c r="J79" i="184" s="1"/>
  <c r="C42" i="40"/>
  <c r="H80" i="184" s="1"/>
  <c r="D42" i="40"/>
  <c r="I80" i="184" s="1"/>
  <c r="E42" i="40"/>
  <c r="J80" i="184" s="1"/>
  <c r="C43" i="40"/>
  <c r="H81" i="184" s="1"/>
  <c r="D43" i="40"/>
  <c r="I81" i="184" s="1"/>
  <c r="E43" i="40"/>
  <c r="J81" i="184" s="1"/>
  <c r="C44" i="40"/>
  <c r="H82" i="184" s="1"/>
  <c r="D44" i="40"/>
  <c r="I82" i="184" s="1"/>
  <c r="E44" i="40"/>
  <c r="J82" i="184" s="1"/>
  <c r="C45" i="40"/>
  <c r="H83" i="184" s="1"/>
  <c r="D45" i="40"/>
  <c r="I83" i="184" s="1"/>
  <c r="E45" i="40"/>
  <c r="J83" i="184" s="1"/>
  <c r="C46" i="40"/>
  <c r="H84" i="184" s="1"/>
  <c r="D46" i="40"/>
  <c r="I84" i="184" s="1"/>
  <c r="E46" i="40"/>
  <c r="J84" i="184" s="1"/>
  <c r="D24" i="105"/>
  <c r="E24"/>
  <c r="F24"/>
  <c r="G24"/>
  <c r="H24"/>
  <c r="I24"/>
  <c r="N39"/>
  <c r="N40"/>
  <c r="N41"/>
  <c r="N42"/>
  <c r="N43"/>
  <c r="N44"/>
  <c r="D45"/>
  <c r="E45"/>
  <c r="F45"/>
  <c r="G45"/>
  <c r="H45"/>
  <c r="I45"/>
  <c r="J45"/>
  <c r="K45"/>
  <c r="L45"/>
  <c r="M45"/>
  <c r="N55"/>
  <c r="N56"/>
  <c r="N57"/>
  <c r="N58"/>
  <c r="N59"/>
  <c r="N60"/>
  <c r="D61"/>
  <c r="E61"/>
  <c r="F61"/>
  <c r="G61"/>
  <c r="H61"/>
  <c r="I61"/>
  <c r="J61"/>
  <c r="K61"/>
  <c r="L61"/>
  <c r="M61"/>
  <c r="D24" i="106"/>
  <c r="E24"/>
  <c r="F24"/>
  <c r="G24"/>
  <c r="H24"/>
  <c r="I24"/>
  <c r="N37"/>
  <c r="N38"/>
  <c r="N39"/>
  <c r="N40"/>
  <c r="N41"/>
  <c r="N42"/>
  <c r="D43"/>
  <c r="E43"/>
  <c r="F43"/>
  <c r="G43"/>
  <c r="H43"/>
  <c r="I43"/>
  <c r="J43"/>
  <c r="K43"/>
  <c r="L43"/>
  <c r="M43"/>
  <c r="N52"/>
  <c r="N53"/>
  <c r="N54"/>
  <c r="N55"/>
  <c r="N56"/>
  <c r="N57"/>
  <c r="D58"/>
  <c r="E58"/>
  <c r="F58"/>
  <c r="G58"/>
  <c r="H58"/>
  <c r="I58"/>
  <c r="J58"/>
  <c r="K58"/>
  <c r="L58"/>
  <c r="M58"/>
  <c r="D25" i="107"/>
  <c r="E25"/>
  <c r="F25"/>
  <c r="G25"/>
  <c r="H25"/>
  <c r="I25"/>
  <c r="N39"/>
  <c r="N40"/>
  <c r="N41"/>
  <c r="N42"/>
  <c r="N43"/>
  <c r="N44"/>
  <c r="D45"/>
  <c r="E45"/>
  <c r="F45"/>
  <c r="G45"/>
  <c r="H45"/>
  <c r="I45"/>
  <c r="J45"/>
  <c r="K45"/>
  <c r="L45"/>
  <c r="M45"/>
  <c r="N54"/>
  <c r="N55"/>
  <c r="N56"/>
  <c r="N57"/>
  <c r="N58"/>
  <c r="N59"/>
  <c r="D60"/>
  <c r="E60"/>
  <c r="F60"/>
  <c r="G60"/>
  <c r="H60"/>
  <c r="I60"/>
  <c r="J60"/>
  <c r="K60"/>
  <c r="L60"/>
  <c r="M60"/>
  <c r="F14" i="47"/>
  <c r="F15"/>
  <c r="F16"/>
  <c r="F17"/>
  <c r="F18"/>
  <c r="F19"/>
  <c r="D20"/>
  <c r="E20"/>
  <c r="F21"/>
  <c r="F36"/>
  <c r="F37"/>
  <c r="F38"/>
  <c r="F39"/>
  <c r="G49"/>
  <c r="H49"/>
  <c r="G50"/>
  <c r="H50"/>
  <c r="G51"/>
  <c r="H51"/>
  <c r="C52"/>
  <c r="D52"/>
  <c r="E52"/>
  <c r="F52"/>
  <c r="G59"/>
  <c r="H59"/>
  <c r="G60"/>
  <c r="H60"/>
  <c r="G61"/>
  <c r="H61"/>
  <c r="C62"/>
  <c r="D62"/>
  <c r="E62"/>
  <c r="F62"/>
  <c r="C72"/>
  <c r="D72"/>
  <c r="E72"/>
  <c r="F72"/>
  <c r="G72"/>
  <c r="H72"/>
  <c r="I72"/>
  <c r="J72"/>
  <c r="H10" i="137"/>
  <c r="H11"/>
  <c r="H12"/>
  <c r="H13"/>
  <c r="H14"/>
  <c r="H19"/>
  <c r="H20"/>
  <c r="H21"/>
  <c r="H22"/>
  <c r="H23"/>
  <c r="H28"/>
  <c r="H29"/>
  <c r="H30"/>
  <c r="H31"/>
  <c r="H32"/>
  <c r="E7" i="49"/>
  <c r="E8"/>
  <c r="E9"/>
  <c r="E10"/>
  <c r="E11"/>
  <c r="B19" i="109"/>
  <c r="B5" i="139" s="1"/>
  <c r="C19" i="109"/>
  <c r="D19"/>
  <c r="E19"/>
  <c r="F19"/>
  <c r="G19"/>
  <c r="H19"/>
  <c r="I19"/>
  <c r="J19"/>
  <c r="K19"/>
  <c r="L19"/>
  <c r="M19"/>
  <c r="B23"/>
  <c r="C23"/>
  <c r="D23"/>
  <c r="E23"/>
  <c r="F23"/>
  <c r="G23"/>
  <c r="H23"/>
  <c r="I23"/>
  <c r="J23"/>
  <c r="K23"/>
  <c r="L23"/>
  <c r="M23"/>
  <c r="B27"/>
  <c r="B13" i="139" s="1"/>
  <c r="C27" i="109"/>
  <c r="D27"/>
  <c r="E27"/>
  <c r="F27"/>
  <c r="G27"/>
  <c r="H27"/>
  <c r="I27"/>
  <c r="J27"/>
  <c r="K27"/>
  <c r="L27"/>
  <c r="M27"/>
  <c r="B31"/>
  <c r="C31"/>
  <c r="D31"/>
  <c r="E31"/>
  <c r="F31"/>
  <c r="G31"/>
  <c r="H31"/>
  <c r="I31"/>
  <c r="J31"/>
  <c r="K31"/>
  <c r="L31"/>
  <c r="M31"/>
  <c r="B35"/>
  <c r="B24" i="175" s="1"/>
  <c r="C35" i="109"/>
  <c r="D35"/>
  <c r="E35"/>
  <c r="F35"/>
  <c r="G35"/>
  <c r="H35"/>
  <c r="I35"/>
  <c r="J35"/>
  <c r="K35"/>
  <c r="L35"/>
  <c r="M35"/>
  <c r="B39"/>
  <c r="C39"/>
  <c r="D39"/>
  <c r="E39"/>
  <c r="F39"/>
  <c r="G39"/>
  <c r="H39"/>
  <c r="I39"/>
  <c r="J39"/>
  <c r="K39"/>
  <c r="L39"/>
  <c r="M39"/>
  <c r="B43"/>
  <c r="B29" i="139" s="1"/>
  <c r="C43" i="109"/>
  <c r="D43"/>
  <c r="E43"/>
  <c r="F43"/>
  <c r="G43"/>
  <c r="H43"/>
  <c r="I43"/>
  <c r="J43"/>
  <c r="K43"/>
  <c r="L43"/>
  <c r="M43"/>
  <c r="B47"/>
  <c r="C47"/>
  <c r="D47"/>
  <c r="E47"/>
  <c r="F47"/>
  <c r="G47"/>
  <c r="H47"/>
  <c r="I47"/>
  <c r="J47"/>
  <c r="K47"/>
  <c r="L47"/>
  <c r="M47"/>
  <c r="B51"/>
  <c r="B37" i="139" s="1"/>
  <c r="C51" i="109"/>
  <c r="D51"/>
  <c r="E51"/>
  <c r="F51"/>
  <c r="G51"/>
  <c r="H51"/>
  <c r="I51"/>
  <c r="J51"/>
  <c r="K51"/>
  <c r="L51"/>
  <c r="M51"/>
  <c r="B55"/>
  <c r="B41" i="139" s="1"/>
  <c r="C55" i="109"/>
  <c r="D55"/>
  <c r="E55"/>
  <c r="F55"/>
  <c r="G55"/>
  <c r="H55"/>
  <c r="I55"/>
  <c r="J55"/>
  <c r="K55"/>
  <c r="L55"/>
  <c r="M55"/>
  <c r="B67"/>
  <c r="C67"/>
  <c r="D67"/>
  <c r="E67"/>
  <c r="F67"/>
  <c r="G67"/>
  <c r="B71"/>
  <c r="C71"/>
  <c r="D71"/>
  <c r="E71"/>
  <c r="F71"/>
  <c r="G71"/>
  <c r="B75"/>
  <c r="C75"/>
  <c r="C55" i="139" s="1"/>
  <c r="D75" i="109"/>
  <c r="E75"/>
  <c r="F75"/>
  <c r="G75"/>
  <c r="B79"/>
  <c r="C79"/>
  <c r="D79"/>
  <c r="E79"/>
  <c r="F79"/>
  <c r="G79"/>
  <c r="B83"/>
  <c r="C83"/>
  <c r="D83"/>
  <c r="E83"/>
  <c r="F83"/>
  <c r="G83"/>
  <c r="B87"/>
  <c r="B70" i="175" s="1"/>
  <c r="C87" i="109"/>
  <c r="D87"/>
  <c r="E87"/>
  <c r="F87"/>
  <c r="G87"/>
  <c r="B91"/>
  <c r="C91"/>
  <c r="D91"/>
  <c r="E91"/>
  <c r="F91"/>
  <c r="G91"/>
  <c r="B95"/>
  <c r="C95"/>
  <c r="D95"/>
  <c r="E95"/>
  <c r="F95"/>
  <c r="G95"/>
  <c r="B99"/>
  <c r="C99"/>
  <c r="D99"/>
  <c r="E99"/>
  <c r="F99"/>
  <c r="G99"/>
  <c r="B103"/>
  <c r="B86" i="175" s="1"/>
  <c r="C103" i="109"/>
  <c r="C83" i="139" s="1"/>
  <c r="D103" i="109"/>
  <c r="E103"/>
  <c r="F103"/>
  <c r="G103"/>
  <c r="D122"/>
  <c r="E122"/>
  <c r="B25" i="110"/>
  <c r="C25"/>
  <c r="D25"/>
  <c r="E25"/>
  <c r="F25"/>
  <c r="G25"/>
  <c r="H25"/>
  <c r="I25"/>
  <c r="J25"/>
  <c r="K25"/>
  <c r="L25"/>
  <c r="M25"/>
  <c r="B32"/>
  <c r="C32"/>
  <c r="D32"/>
  <c r="E32"/>
  <c r="F32"/>
  <c r="G32"/>
  <c r="H32"/>
  <c r="I32"/>
  <c r="J32"/>
  <c r="K32"/>
  <c r="L32"/>
  <c r="M32"/>
  <c r="B42"/>
  <c r="C42"/>
  <c r="D42"/>
  <c r="E42"/>
  <c r="F42"/>
  <c r="G42"/>
  <c r="H42"/>
  <c r="I42"/>
  <c r="J42"/>
  <c r="K42"/>
  <c r="L42"/>
  <c r="M42"/>
  <c r="B46"/>
  <c r="C46"/>
  <c r="D46"/>
  <c r="E46"/>
  <c r="F46"/>
  <c r="G46"/>
  <c r="H46"/>
  <c r="I46"/>
  <c r="J46"/>
  <c r="K46"/>
  <c r="L46"/>
  <c r="M46"/>
  <c r="B53"/>
  <c r="C53"/>
  <c r="D53"/>
  <c r="E53"/>
  <c r="F53"/>
  <c r="G53"/>
  <c r="H53"/>
  <c r="I53"/>
  <c r="J53"/>
  <c r="K53"/>
  <c r="L53"/>
  <c r="M53"/>
  <c r="B65"/>
  <c r="C65"/>
  <c r="D65"/>
  <c r="E65"/>
  <c r="F65"/>
  <c r="G65"/>
  <c r="H65"/>
  <c r="I65"/>
  <c r="J65"/>
  <c r="K65"/>
  <c r="L65"/>
  <c r="M65"/>
  <c r="B68"/>
  <c r="C68"/>
  <c r="D68"/>
  <c r="E68"/>
  <c r="F68"/>
  <c r="G68"/>
  <c r="H68"/>
  <c r="I68"/>
  <c r="J68"/>
  <c r="K68"/>
  <c r="L68"/>
  <c r="M68"/>
  <c r="B73"/>
  <c r="C73"/>
  <c r="D73"/>
  <c r="E73"/>
  <c r="F73"/>
  <c r="G73"/>
  <c r="H73"/>
  <c r="I73"/>
  <c r="J73"/>
  <c r="K73"/>
  <c r="L73"/>
  <c r="M73"/>
  <c r="B82"/>
  <c r="C82"/>
  <c r="D82"/>
  <c r="E82"/>
  <c r="F82"/>
  <c r="G82"/>
  <c r="H82"/>
  <c r="I82"/>
  <c r="J82"/>
  <c r="K82"/>
  <c r="L82"/>
  <c r="M82"/>
  <c r="B85"/>
  <c r="C85"/>
  <c r="D85"/>
  <c r="E85"/>
  <c r="F85"/>
  <c r="G85"/>
  <c r="H85"/>
  <c r="I85"/>
  <c r="J85"/>
  <c r="K85"/>
  <c r="L85"/>
  <c r="M85"/>
  <c r="C30" i="114"/>
  <c r="D30"/>
  <c r="E30"/>
  <c r="F30"/>
  <c r="G30"/>
  <c r="H30"/>
  <c r="I30"/>
  <c r="J30"/>
  <c r="K30"/>
  <c r="L30"/>
  <c r="M30"/>
  <c r="N30"/>
  <c r="C38"/>
  <c r="D38"/>
  <c r="E38"/>
  <c r="F38"/>
  <c r="G38"/>
  <c r="H38"/>
  <c r="I38"/>
  <c r="J38"/>
  <c r="K38"/>
  <c r="L38"/>
  <c r="M38"/>
  <c r="N38"/>
  <c r="C49"/>
  <c r="D49"/>
  <c r="E49"/>
  <c r="F49"/>
  <c r="G49"/>
  <c r="H49"/>
  <c r="I49"/>
  <c r="J49"/>
  <c r="K49"/>
  <c r="L49"/>
  <c r="M49"/>
  <c r="N49"/>
  <c r="C54"/>
  <c r="D54"/>
  <c r="E54"/>
  <c r="F54"/>
  <c r="G54"/>
  <c r="H54"/>
  <c r="I54"/>
  <c r="J54"/>
  <c r="K54"/>
  <c r="L54"/>
  <c r="M54"/>
  <c r="N54"/>
  <c r="C62"/>
  <c r="D62"/>
  <c r="E62"/>
  <c r="F62"/>
  <c r="G62"/>
  <c r="H62"/>
  <c r="I62"/>
  <c r="J62"/>
  <c r="K62"/>
  <c r="L62"/>
  <c r="M62"/>
  <c r="N62"/>
  <c r="C75"/>
  <c r="D75"/>
  <c r="E75"/>
  <c r="F75"/>
  <c r="G75"/>
  <c r="H75"/>
  <c r="I75"/>
  <c r="J75"/>
  <c r="K75"/>
  <c r="L75"/>
  <c r="M75"/>
  <c r="N75"/>
  <c r="C79"/>
  <c r="D79"/>
  <c r="E79"/>
  <c r="F79"/>
  <c r="G79"/>
  <c r="H79"/>
  <c r="I79"/>
  <c r="J79"/>
  <c r="K79"/>
  <c r="L79"/>
  <c r="M79"/>
  <c r="N79"/>
  <c r="C85"/>
  <c r="D85"/>
  <c r="E85"/>
  <c r="F85"/>
  <c r="G85"/>
  <c r="H85"/>
  <c r="I85"/>
  <c r="J85"/>
  <c r="K85"/>
  <c r="L85"/>
  <c r="M85"/>
  <c r="N85"/>
  <c r="C95"/>
  <c r="D95"/>
  <c r="E95"/>
  <c r="F95"/>
  <c r="G95"/>
  <c r="H95"/>
  <c r="I95"/>
  <c r="J95"/>
  <c r="K95"/>
  <c r="L95"/>
  <c r="M95"/>
  <c r="N95"/>
  <c r="C99"/>
  <c r="D99"/>
  <c r="E99"/>
  <c r="F99"/>
  <c r="G99"/>
  <c r="H99"/>
  <c r="I99"/>
  <c r="J99"/>
  <c r="K99"/>
  <c r="L99"/>
  <c r="M99"/>
  <c r="N99"/>
  <c r="C21" i="115"/>
  <c r="D21"/>
  <c r="E21"/>
  <c r="F21"/>
  <c r="G21"/>
  <c r="H21"/>
  <c r="I21"/>
  <c r="J21"/>
  <c r="C29"/>
  <c r="D29"/>
  <c r="E29"/>
  <c r="F29"/>
  <c r="G29"/>
  <c r="H29"/>
  <c r="I29"/>
  <c r="J29"/>
  <c r="C40"/>
  <c r="D40"/>
  <c r="E40"/>
  <c r="F40"/>
  <c r="G40"/>
  <c r="H40"/>
  <c r="I40"/>
  <c r="J40"/>
  <c r="C45"/>
  <c r="D45"/>
  <c r="E45"/>
  <c r="F45"/>
  <c r="G45"/>
  <c r="H45"/>
  <c r="I45"/>
  <c r="J45"/>
  <c r="C53"/>
  <c r="D53"/>
  <c r="E53"/>
  <c r="F53"/>
  <c r="G53"/>
  <c r="H53"/>
  <c r="I53"/>
  <c r="J53"/>
  <c r="C66"/>
  <c r="D66"/>
  <c r="E66"/>
  <c r="F66"/>
  <c r="G66"/>
  <c r="H66"/>
  <c r="I66"/>
  <c r="J66"/>
  <c r="C70"/>
  <c r="D70"/>
  <c r="E70"/>
  <c r="F70"/>
  <c r="G70"/>
  <c r="H70"/>
  <c r="I70"/>
  <c r="J70"/>
  <c r="C76"/>
  <c r="D76"/>
  <c r="E76"/>
  <c r="F76"/>
  <c r="G76"/>
  <c r="H76"/>
  <c r="I76"/>
  <c r="J76"/>
  <c r="C86"/>
  <c r="D86"/>
  <c r="E86"/>
  <c r="F86"/>
  <c r="G86"/>
  <c r="H86"/>
  <c r="I86"/>
  <c r="J86"/>
  <c r="C90"/>
  <c r="D90"/>
  <c r="E90"/>
  <c r="F90"/>
  <c r="G90"/>
  <c r="H90"/>
  <c r="I90"/>
  <c r="J90"/>
  <c r="B16" i="62"/>
  <c r="C16"/>
  <c r="B28"/>
  <c r="C28"/>
  <c r="B40"/>
  <c r="C40"/>
  <c r="B52"/>
  <c r="C52"/>
  <c r="F12" i="116"/>
  <c r="F13"/>
  <c r="F14"/>
  <c r="B15"/>
  <c r="C15"/>
  <c r="D15"/>
  <c r="E15"/>
  <c r="F29"/>
  <c r="J29"/>
  <c r="B30"/>
  <c r="B35" s="1"/>
  <c r="C30"/>
  <c r="C35" s="1"/>
  <c r="D30"/>
  <c r="D35" s="1"/>
  <c r="E30"/>
  <c r="E35" s="1"/>
  <c r="H30"/>
  <c r="I30"/>
  <c r="F31"/>
  <c r="J31"/>
  <c r="F32"/>
  <c r="J32"/>
  <c r="F33"/>
  <c r="J33"/>
  <c r="F34"/>
  <c r="J34"/>
  <c r="G35"/>
  <c r="F37"/>
  <c r="J37"/>
  <c r="B38"/>
  <c r="B43" s="1"/>
  <c r="C38"/>
  <c r="C43" s="1"/>
  <c r="D38"/>
  <c r="D43" s="1"/>
  <c r="E38"/>
  <c r="E43" s="1"/>
  <c r="H38"/>
  <c r="I38"/>
  <c r="F39"/>
  <c r="J39"/>
  <c r="F40"/>
  <c r="J40"/>
  <c r="F41"/>
  <c r="J41"/>
  <c r="F42"/>
  <c r="J42"/>
  <c r="G43"/>
  <c r="F45"/>
  <c r="J45"/>
  <c r="B46"/>
  <c r="B51" s="1"/>
  <c r="C46"/>
  <c r="C51" s="1"/>
  <c r="D46"/>
  <c r="D51" s="1"/>
  <c r="E46"/>
  <c r="E51" s="1"/>
  <c r="H46"/>
  <c r="I46"/>
  <c r="F47"/>
  <c r="J47"/>
  <c r="F48"/>
  <c r="J48"/>
  <c r="F49"/>
  <c r="J49"/>
  <c r="F50"/>
  <c r="J50"/>
  <c r="G51"/>
  <c r="F53"/>
  <c r="J53"/>
  <c r="F63"/>
  <c r="J63"/>
  <c r="B64"/>
  <c r="C64"/>
  <c r="C69" s="1"/>
  <c r="D64"/>
  <c r="D69" s="1"/>
  <c r="E64"/>
  <c r="E69" s="1"/>
  <c r="H64"/>
  <c r="I64"/>
  <c r="F65"/>
  <c r="J65"/>
  <c r="F66"/>
  <c r="J66"/>
  <c r="F67"/>
  <c r="J67"/>
  <c r="F68"/>
  <c r="J68"/>
  <c r="G69"/>
  <c r="F71"/>
  <c r="J71"/>
  <c r="B72"/>
  <c r="C72"/>
  <c r="C77" s="1"/>
  <c r="D72"/>
  <c r="D77" s="1"/>
  <c r="E72"/>
  <c r="E77" s="1"/>
  <c r="H72"/>
  <c r="I72"/>
  <c r="F73"/>
  <c r="J73"/>
  <c r="F74"/>
  <c r="J74"/>
  <c r="F75"/>
  <c r="J75"/>
  <c r="F76"/>
  <c r="J76"/>
  <c r="G77"/>
  <c r="F79"/>
  <c r="J79"/>
  <c r="B80"/>
  <c r="C80"/>
  <c r="C85" s="1"/>
  <c r="D80"/>
  <c r="D85" s="1"/>
  <c r="E80"/>
  <c r="E85" s="1"/>
  <c r="H80"/>
  <c r="I80"/>
  <c r="F81"/>
  <c r="J81"/>
  <c r="F82"/>
  <c r="J82"/>
  <c r="F83"/>
  <c r="J83"/>
  <c r="F84"/>
  <c r="J84"/>
  <c r="G85"/>
  <c r="F87"/>
  <c r="J87"/>
  <c r="F15" i="117"/>
  <c r="J15"/>
  <c r="F16"/>
  <c r="J16"/>
  <c r="F17"/>
  <c r="J17"/>
  <c r="F18"/>
  <c r="J18"/>
  <c r="F19"/>
  <c r="J19"/>
  <c r="F20"/>
  <c r="J20"/>
  <c r="F21"/>
  <c r="J21"/>
  <c r="B22"/>
  <c r="C22"/>
  <c r="C25" s="1"/>
  <c r="D22"/>
  <c r="D25" s="1"/>
  <c r="E22"/>
  <c r="E25" s="1"/>
  <c r="G22"/>
  <c r="G25" s="1"/>
  <c r="H22"/>
  <c r="H25" s="1"/>
  <c r="I22"/>
  <c r="I25" s="1"/>
  <c r="K22"/>
  <c r="K25" s="1"/>
  <c r="F23"/>
  <c r="J23"/>
  <c r="F24"/>
  <c r="J24"/>
  <c r="B43"/>
  <c r="B46" s="1"/>
  <c r="D43"/>
  <c r="D46" s="1"/>
  <c r="F13" i="66"/>
  <c r="F14"/>
  <c r="F15"/>
  <c r="F17"/>
  <c r="F19"/>
  <c r="C15" i="67"/>
  <c r="BN25" i="184" s="1"/>
  <c r="B59" i="68"/>
  <c r="BJ47" i="184" s="1"/>
  <c r="B11" i="174"/>
  <c r="C11"/>
  <c r="AB48" i="184" s="1"/>
  <c r="B15" i="174"/>
  <c r="AA49" i="184" s="1"/>
  <c r="C15" i="174"/>
  <c r="AB49" i="184" s="1"/>
  <c r="B19" i="174"/>
  <c r="AA50" i="184" s="1"/>
  <c r="C19" i="174"/>
  <c r="AB50" i="184" s="1"/>
  <c r="B22" i="174"/>
  <c r="AA51" i="184" s="1"/>
  <c r="C22" i="174"/>
  <c r="AB51" i="184" s="1"/>
  <c r="B20" i="144"/>
  <c r="C20"/>
  <c r="B27"/>
  <c r="C27"/>
  <c r="BN36" i="184" s="1"/>
  <c r="BN34" s="1"/>
  <c r="B9" i="175"/>
  <c r="C9"/>
  <c r="B10"/>
  <c r="C10"/>
  <c r="B11"/>
  <c r="C11"/>
  <c r="B13"/>
  <c r="C13"/>
  <c r="B14"/>
  <c r="C14"/>
  <c r="B15"/>
  <c r="C15"/>
  <c r="B17"/>
  <c r="C17"/>
  <c r="B18"/>
  <c r="C18"/>
  <c r="B19"/>
  <c r="C19"/>
  <c r="B21"/>
  <c r="C21"/>
  <c r="B22"/>
  <c r="C22"/>
  <c r="B23"/>
  <c r="C23"/>
  <c r="B25"/>
  <c r="C25"/>
  <c r="B26"/>
  <c r="C26"/>
  <c r="B27"/>
  <c r="C27"/>
  <c r="B28"/>
  <c r="B29"/>
  <c r="C29"/>
  <c r="B30"/>
  <c r="C30"/>
  <c r="B31"/>
  <c r="C31"/>
  <c r="B33"/>
  <c r="C33"/>
  <c r="B34"/>
  <c r="C34"/>
  <c r="B35"/>
  <c r="C35"/>
  <c r="B37"/>
  <c r="C37"/>
  <c r="B38"/>
  <c r="C38"/>
  <c r="B39"/>
  <c r="C39"/>
  <c r="B41"/>
  <c r="C41"/>
  <c r="B42"/>
  <c r="C42"/>
  <c r="B43"/>
  <c r="C43"/>
  <c r="B45"/>
  <c r="C45"/>
  <c r="B46"/>
  <c r="C46"/>
  <c r="B51"/>
  <c r="C51"/>
  <c r="B52"/>
  <c r="C52"/>
  <c r="B53"/>
  <c r="C53"/>
  <c r="B55"/>
  <c r="C55"/>
  <c r="B56"/>
  <c r="C56"/>
  <c r="B57"/>
  <c r="C57"/>
  <c r="B59"/>
  <c r="C59"/>
  <c r="B60"/>
  <c r="C60"/>
  <c r="B61"/>
  <c r="C61"/>
  <c r="B62"/>
  <c r="B63"/>
  <c r="C63"/>
  <c r="B64"/>
  <c r="C64"/>
  <c r="B65"/>
  <c r="C65"/>
  <c r="B67"/>
  <c r="C67"/>
  <c r="B68"/>
  <c r="C68"/>
  <c r="B69"/>
  <c r="C69"/>
  <c r="B71"/>
  <c r="C71"/>
  <c r="B72"/>
  <c r="C72"/>
  <c r="B73"/>
  <c r="C73"/>
  <c r="B75"/>
  <c r="C75"/>
  <c r="B76"/>
  <c r="C76"/>
  <c r="B77"/>
  <c r="C77"/>
  <c r="B78"/>
  <c r="B79"/>
  <c r="C79"/>
  <c r="B80"/>
  <c r="C80"/>
  <c r="B81"/>
  <c r="C81"/>
  <c r="B83"/>
  <c r="C83"/>
  <c r="B84"/>
  <c r="C84"/>
  <c r="B85"/>
  <c r="C85"/>
  <c r="B87"/>
  <c r="C87"/>
  <c r="B88"/>
  <c r="C88"/>
  <c r="BN39" i="184" l="1"/>
  <c r="BM39"/>
  <c r="BJ19"/>
  <c r="BI19" s="1"/>
  <c r="BJ22"/>
  <c r="BN24"/>
  <c r="C86" i="175"/>
  <c r="B20"/>
  <c r="C58" i="109"/>
  <c r="B58"/>
  <c r="I58"/>
  <c r="D58"/>
  <c r="K84" i="184"/>
  <c r="K81"/>
  <c r="AG102"/>
  <c r="AG101"/>
  <c r="AF100"/>
  <c r="AF97"/>
  <c r="AF94"/>
  <c r="AF89"/>
  <c r="C31"/>
  <c r="O74"/>
  <c r="O80"/>
  <c r="O73"/>
  <c r="C79" i="139"/>
  <c r="C47"/>
  <c r="D36"/>
  <c r="B25"/>
  <c r="D75" i="184"/>
  <c r="C78" i="175"/>
  <c r="G89" i="116"/>
  <c r="K78" i="184"/>
  <c r="K79"/>
  <c r="Q68"/>
  <c r="AG100"/>
  <c r="AG92"/>
  <c r="AF102"/>
  <c r="AF96"/>
  <c r="AF91"/>
  <c r="AF87"/>
  <c r="D81" i="175"/>
  <c r="AS12" i="184"/>
  <c r="AS10" s="1"/>
  <c r="F58" i="109"/>
  <c r="K82" i="184"/>
  <c r="C62" i="175"/>
  <c r="D62" s="1"/>
  <c r="E58" i="109"/>
  <c r="O79" i="184"/>
  <c r="GZ2"/>
  <c r="GZ59" s="1"/>
  <c r="GQ59"/>
  <c r="AA48"/>
  <c r="AE46"/>
  <c r="AE49"/>
  <c r="Y43"/>
  <c r="D77" i="175"/>
  <c r="C58"/>
  <c r="J86" i="110"/>
  <c r="K76" i="184"/>
  <c r="O77"/>
  <c r="D76"/>
  <c r="G58" i="109"/>
  <c r="J85" i="184"/>
  <c r="AG104"/>
  <c r="AG91"/>
  <c r="AF103"/>
  <c r="Q67"/>
  <c r="AF101"/>
  <c r="AF95"/>
  <c r="O78"/>
  <c r="D74"/>
  <c r="H24" s="1"/>
  <c r="G24" s="1"/>
  <c r="D39" i="139"/>
  <c r="BJ7" i="184"/>
  <c r="BQ6"/>
  <c r="L86" i="110"/>
  <c r="I85" i="184"/>
  <c r="BJ39"/>
  <c r="BM36"/>
  <c r="BJ36"/>
  <c r="BJ34"/>
  <c r="K83"/>
  <c r="K75"/>
  <c r="H85"/>
  <c r="B54" i="175"/>
  <c r="H58" i="109"/>
  <c r="K80" i="184"/>
  <c r="GY38"/>
  <c r="GR38"/>
  <c r="GX38" s="1"/>
  <c r="GY4"/>
  <c r="GR4"/>
  <c r="GX4" s="1"/>
  <c r="C82" i="175"/>
  <c r="C50"/>
  <c r="B32"/>
  <c r="B83" i="139"/>
  <c r="D83" s="1"/>
  <c r="B67"/>
  <c r="B51"/>
  <c r="D47" i="40"/>
  <c r="B8" i="175"/>
  <c r="C54"/>
  <c r="D73"/>
  <c r="B17" i="139"/>
  <c r="B40" i="175"/>
  <c r="B63" i="139"/>
  <c r="B66" i="175"/>
  <c r="C59" i="139"/>
  <c r="M58" i="109"/>
  <c r="B44" i="175"/>
  <c r="D39"/>
  <c r="B16"/>
  <c r="B75" i="139"/>
  <c r="B59"/>
  <c r="I91" i="16"/>
  <c r="D38" i="139"/>
  <c r="C75"/>
  <c r="C51"/>
  <c r="D62"/>
  <c r="D43"/>
  <c r="D34"/>
  <c r="J68" i="9"/>
  <c r="F303" i="7"/>
  <c r="B21" i="139"/>
  <c r="N60" i="107"/>
  <c r="B374" i="7"/>
  <c r="D65" i="139"/>
  <c r="C47" i="40"/>
  <c r="D55" i="175"/>
  <c r="F348" i="7"/>
  <c r="I286"/>
  <c r="GP45" i="184" s="1"/>
  <c r="I202" i="7"/>
  <c r="GP30" i="184" s="1"/>
  <c r="L101" i="114"/>
  <c r="F235" i="7"/>
  <c r="B204"/>
  <c r="F173"/>
  <c r="D60" i="139"/>
  <c r="D54"/>
  <c r="D49"/>
  <c r="D85" i="175"/>
  <c r="D83"/>
  <c r="D65"/>
  <c r="G86" i="110"/>
  <c r="G93" i="101"/>
  <c r="H49" i="7"/>
  <c r="E101" i="114"/>
  <c r="C86" i="110"/>
  <c r="J46" i="116"/>
  <c r="H101" i="114"/>
  <c r="J38" i="116"/>
  <c r="E86" i="110"/>
  <c r="D55" i="116"/>
  <c r="J30"/>
  <c r="F86" i="110"/>
  <c r="F273" i="7"/>
  <c r="F136"/>
  <c r="F122"/>
  <c r="F101"/>
  <c r="D82" i="139"/>
  <c r="D80"/>
  <c r="D74"/>
  <c r="D72"/>
  <c r="D69"/>
  <c r="D64"/>
  <c r="D40"/>
  <c r="F96" i="102"/>
  <c r="F312" i="7"/>
  <c r="F264"/>
  <c r="F221"/>
  <c r="F74"/>
  <c r="D56" i="139"/>
  <c r="E47" i="40"/>
  <c r="F76" i="102"/>
  <c r="K44" i="97"/>
  <c r="K74" i="9"/>
  <c r="K68"/>
  <c r="I254" i="7"/>
  <c r="GP40" i="184" s="1"/>
  <c r="I235" i="7"/>
  <c r="E145"/>
  <c r="I96"/>
  <c r="GP13" i="184" s="1"/>
  <c r="D78" i="139"/>
  <c r="D73"/>
  <c r="D68"/>
  <c r="D42" i="175"/>
  <c r="D23"/>
  <c r="D21"/>
  <c r="D14"/>
  <c r="D11"/>
  <c r="D9"/>
  <c r="D42" i="139"/>
  <c r="D64" i="175"/>
  <c r="D27"/>
  <c r="D77" i="139"/>
  <c r="D57"/>
  <c r="D52"/>
  <c r="D63" i="175"/>
  <c r="D61"/>
  <c r="D51"/>
  <c r="D41"/>
  <c r="D31"/>
  <c r="D22"/>
  <c r="D19"/>
  <c r="D13"/>
  <c r="D10"/>
  <c r="D81" i="139"/>
  <c r="D76"/>
  <c r="D70"/>
  <c r="D66"/>
  <c r="D61"/>
  <c r="D58"/>
  <c r="D53"/>
  <c r="D50"/>
  <c r="D48"/>
  <c r="D35"/>
  <c r="D32"/>
  <c r="D27"/>
  <c r="D22"/>
  <c r="D87" i="175"/>
  <c r="D79"/>
  <c r="D75"/>
  <c r="D60"/>
  <c r="D45"/>
  <c r="D38"/>
  <c r="D35"/>
  <c r="D33"/>
  <c r="M101" i="114"/>
  <c r="B86" i="110"/>
  <c r="F106" i="109"/>
  <c r="J85" i="16"/>
  <c r="J75"/>
  <c r="M86" i="110"/>
  <c r="C71" i="139"/>
  <c r="C74" i="175"/>
  <c r="C63" i="139"/>
  <c r="C66" i="175"/>
  <c r="L58" i="109"/>
  <c r="G62" i="47"/>
  <c r="I90" i="9"/>
  <c r="D305" i="7"/>
  <c r="F286"/>
  <c r="I158"/>
  <c r="GP23" i="184" s="1"/>
  <c r="H90" i="7"/>
  <c r="G49"/>
  <c r="I23"/>
  <c r="GP2" i="184" s="1"/>
  <c r="D88" i="175"/>
  <c r="D80"/>
  <c r="D76"/>
  <c r="D71"/>
  <c r="D67"/>
  <c r="D29"/>
  <c r="D25"/>
  <c r="D18"/>
  <c r="D15"/>
  <c r="K101" i="114"/>
  <c r="G101"/>
  <c r="H86" i="110"/>
  <c r="D86"/>
  <c r="J28" i="16"/>
  <c r="J20"/>
  <c r="K64" i="9"/>
  <c r="H374" i="7"/>
  <c r="I273"/>
  <c r="GP43" i="184" s="1"/>
  <c r="F259" i="7"/>
  <c r="F231"/>
  <c r="D145"/>
  <c r="F96"/>
  <c r="F101" i="114"/>
  <c r="J101"/>
  <c r="C67" i="139"/>
  <c r="C70" i="175"/>
  <c r="D70" s="1"/>
  <c r="R93" i="101"/>
  <c r="AF125" i="184" s="1"/>
  <c r="Q93" i="101"/>
  <c r="E93"/>
  <c r="M93"/>
  <c r="B305" i="7"/>
  <c r="G280"/>
  <c r="I216"/>
  <c r="GP32" i="184" s="1"/>
  <c r="C204" i="7"/>
  <c r="H166"/>
  <c r="N45" i="107"/>
  <c r="C98" i="102"/>
  <c r="F93" i="101"/>
  <c r="AF129" i="184" s="1"/>
  <c r="G374" i="7"/>
  <c r="I343"/>
  <c r="GP54" i="184" s="1"/>
  <c r="H280" i="7"/>
  <c r="F164"/>
  <c r="B166"/>
  <c r="F69"/>
  <c r="B49"/>
  <c r="D31" i="139"/>
  <c r="D28"/>
  <c r="D26"/>
  <c r="D23"/>
  <c r="D20"/>
  <c r="D18"/>
  <c r="D15"/>
  <c r="D12"/>
  <c r="D10"/>
  <c r="D7"/>
  <c r="D59" i="175"/>
  <c r="D46"/>
  <c r="D43"/>
  <c r="D37"/>
  <c r="D34"/>
  <c r="D17"/>
  <c r="J25" i="117"/>
  <c r="J80" i="116"/>
  <c r="F80"/>
  <c r="J64"/>
  <c r="D101" i="114"/>
  <c r="K86" i="110"/>
  <c r="C41" i="139"/>
  <c r="D41" s="1"/>
  <c r="C37"/>
  <c r="D37" s="1"/>
  <c r="C33"/>
  <c r="C29"/>
  <c r="D29" s="1"/>
  <c r="C25"/>
  <c r="D25" s="1"/>
  <c r="C21"/>
  <c r="C17"/>
  <c r="C13"/>
  <c r="D13" s="1"/>
  <c r="C9"/>
  <c r="C5"/>
  <c r="D5" s="1"/>
  <c r="F46" i="102"/>
  <c r="F27"/>
  <c r="B74" i="175"/>
  <c r="B50"/>
  <c r="K75" i="16"/>
  <c r="K69"/>
  <c r="K39"/>
  <c r="K52" i="97"/>
  <c r="J74" i="9"/>
  <c r="J27"/>
  <c r="F372" i="7"/>
  <c r="E357"/>
  <c r="I337"/>
  <c r="GP53" i="184" s="1"/>
  <c r="C357" i="7"/>
  <c r="I298"/>
  <c r="GP47" i="184" s="1"/>
  <c r="E305" i="7"/>
  <c r="I250"/>
  <c r="GP39" i="184" s="1"/>
  <c r="I231" i="7"/>
  <c r="GP35" i="184" s="1"/>
  <c r="C266" i="7"/>
  <c r="F202"/>
  <c r="F195"/>
  <c r="F190"/>
  <c r="F185"/>
  <c r="G166"/>
  <c r="F151"/>
  <c r="I122"/>
  <c r="GP18" i="184" s="1"/>
  <c r="I117" i="7"/>
  <c r="GP17" i="184" s="1"/>
  <c r="B90" i="7"/>
  <c r="F56"/>
  <c r="F30"/>
  <c r="D30" i="139"/>
  <c r="D24"/>
  <c r="D19"/>
  <c r="D14"/>
  <c r="D11"/>
  <c r="D8"/>
  <c r="D6"/>
  <c r="C16" i="175"/>
  <c r="C89" i="116"/>
  <c r="C101" i="114"/>
  <c r="F92" i="102"/>
  <c r="J26" i="100"/>
  <c r="J41" s="1"/>
  <c r="J69" i="16"/>
  <c r="H90" i="9"/>
  <c r="J84"/>
  <c r="J64"/>
  <c r="E374" i="7"/>
  <c r="B357"/>
  <c r="F298"/>
  <c r="E280"/>
  <c r="F254"/>
  <c r="H204"/>
  <c r="I151"/>
  <c r="GP22" i="184" s="1"/>
  <c r="F129" i="7"/>
  <c r="F106"/>
  <c r="I30"/>
  <c r="GP3" i="184" s="1"/>
  <c r="D85" i="139"/>
  <c r="C36" i="175"/>
  <c r="D86"/>
  <c r="D26"/>
  <c r="J72" i="116"/>
  <c r="C55"/>
  <c r="I92" i="115"/>
  <c r="N101" i="114"/>
  <c r="H62" i="47"/>
  <c r="S77" i="101"/>
  <c r="F83" i="99"/>
  <c r="K44" i="16"/>
  <c r="K19" i="9"/>
  <c r="D374" i="7"/>
  <c r="F365"/>
  <c r="I318"/>
  <c r="GP50" i="184" s="1"/>
  <c r="H305" i="7"/>
  <c r="D280"/>
  <c r="F250"/>
  <c r="F216"/>
  <c r="F211"/>
  <c r="I173"/>
  <c r="GP25" i="184" s="1"/>
  <c r="E166" i="7"/>
  <c r="F158"/>
  <c r="C90"/>
  <c r="I40"/>
  <c r="GP5" i="184" s="1"/>
  <c r="H92" i="115"/>
  <c r="B71" i="139"/>
  <c r="B47"/>
  <c r="D47" s="1"/>
  <c r="N45" i="105"/>
  <c r="O91" i="97"/>
  <c r="B36" i="175"/>
  <c r="C72" i="96"/>
  <c r="H266" i="7"/>
  <c r="G90"/>
  <c r="D69" i="175"/>
  <c r="C40"/>
  <c r="D40" s="1"/>
  <c r="D30"/>
  <c r="C20"/>
  <c r="F43" i="116"/>
  <c r="F38"/>
  <c r="G92" i="115"/>
  <c r="K58" i="109"/>
  <c r="E98" i="102"/>
  <c r="F72"/>
  <c r="V93" i="101"/>
  <c r="I93"/>
  <c r="AF118" i="184" s="1"/>
  <c r="F26" i="100"/>
  <c r="K89" i="16"/>
  <c r="C91"/>
  <c r="K52"/>
  <c r="K69" i="97"/>
  <c r="D72" i="96"/>
  <c r="C44" i="139" s="1"/>
  <c r="I331" i="7"/>
  <c r="GP52" i="184" s="1"/>
  <c r="I278" i="7"/>
  <c r="GP44" i="184" s="1"/>
  <c r="B280" i="7"/>
  <c r="F143"/>
  <c r="F62"/>
  <c r="I47"/>
  <c r="GP6" i="184" s="1"/>
  <c r="D53" i="175"/>
  <c r="J22" i="117"/>
  <c r="I86" i="110"/>
  <c r="J58" i="109"/>
  <c r="F51" i="102"/>
  <c r="L93" i="101"/>
  <c r="U93"/>
  <c r="H93"/>
  <c r="AF130" i="184" s="1"/>
  <c r="J89" i="16"/>
  <c r="H91"/>
  <c r="B91"/>
  <c r="J52"/>
  <c r="J39"/>
  <c r="K85" i="97"/>
  <c r="J38" i="9"/>
  <c r="I348" i="7"/>
  <c r="GP55" i="184" s="1"/>
  <c r="D357" i="7"/>
  <c r="F331"/>
  <c r="F324"/>
  <c r="G305"/>
  <c r="I227"/>
  <c r="GP34" i="184" s="1"/>
  <c r="I81" i="7"/>
  <c r="GP11" i="184" s="1"/>
  <c r="I69" i="7"/>
  <c r="GP9" i="184" s="1"/>
  <c r="F47" i="7"/>
  <c r="F72" i="116"/>
  <c r="E106" i="109"/>
  <c r="N61" i="105"/>
  <c r="G91" i="16"/>
  <c r="K75" i="97"/>
  <c r="M91"/>
  <c r="K43" i="9"/>
  <c r="I355" i="7"/>
  <c r="GP56" i="184" s="1"/>
  <c r="D266" i="7"/>
  <c r="C145"/>
  <c r="I56"/>
  <c r="GP7" i="184" s="1"/>
  <c r="D68" i="175"/>
  <c r="C8"/>
  <c r="D8" s="1"/>
  <c r="I101" i="114"/>
  <c r="F91" i="16"/>
  <c r="J44"/>
  <c r="E91" i="97"/>
  <c r="J91"/>
  <c r="L91"/>
  <c r="J43" i="9"/>
  <c r="I365" i="7"/>
  <c r="GP57" i="184" s="1"/>
  <c r="F337" i="7"/>
  <c r="F318"/>
  <c r="B145"/>
  <c r="I88"/>
  <c r="GP12" i="184" s="1"/>
  <c r="I62" i="7"/>
  <c r="GP8" i="184" s="1"/>
  <c r="C24" i="175"/>
  <c r="D24" s="1"/>
  <c r="D84"/>
  <c r="C44"/>
  <c r="D57"/>
  <c r="D52"/>
  <c r="C28"/>
  <c r="D28" s="1"/>
  <c r="B82"/>
  <c r="B58"/>
  <c r="K89" i="97"/>
  <c r="Q91"/>
  <c r="K88" i="9"/>
  <c r="K84"/>
  <c r="C90"/>
  <c r="K51"/>
  <c r="I195" i="7"/>
  <c r="GP29" i="184" s="1"/>
  <c r="E204" i="7"/>
  <c r="I164"/>
  <c r="GP24" i="184" s="1"/>
  <c r="I106" i="7"/>
  <c r="GP15" i="184" s="1"/>
  <c r="F88" i="7"/>
  <c r="E55" i="116"/>
  <c r="F92" i="115"/>
  <c r="J92"/>
  <c r="N58" i="106"/>
  <c r="D71" i="98"/>
  <c r="K85" i="16"/>
  <c r="G91" i="97"/>
  <c r="K65"/>
  <c r="J88" i="9"/>
  <c r="B90"/>
  <c r="J51"/>
  <c r="I372" i="7"/>
  <c r="GP58" i="184" s="1"/>
  <c r="F343" i="7"/>
  <c r="F278"/>
  <c r="I241"/>
  <c r="I190"/>
  <c r="GP28" i="184" s="1"/>
  <c r="D204" i="7"/>
  <c r="I143"/>
  <c r="GP21" i="184" s="1"/>
  <c r="F40" i="7"/>
  <c r="D72" i="175"/>
  <c r="C32"/>
  <c r="C12"/>
  <c r="F15" i="116"/>
  <c r="S87" i="101"/>
  <c r="S91" i="97"/>
  <c r="F91"/>
  <c r="T91"/>
  <c r="K39"/>
  <c r="I303" i="7"/>
  <c r="GP48" i="184" s="1"/>
  <c r="I264" i="7"/>
  <c r="GP42" i="184" s="1"/>
  <c r="F227" i="7"/>
  <c r="I221"/>
  <c r="GP33" i="184" s="1"/>
  <c r="F179" i="7"/>
  <c r="D166"/>
  <c r="I74"/>
  <c r="GP10" i="184" s="1"/>
  <c r="D56" i="175"/>
  <c r="N93" i="101"/>
  <c r="B93"/>
  <c r="K28" i="16"/>
  <c r="K20"/>
  <c r="R91" i="97"/>
  <c r="C374" i="7"/>
  <c r="F355"/>
  <c r="G357"/>
  <c r="I312"/>
  <c r="GP49" i="184" s="1"/>
  <c r="F292" i="7"/>
  <c r="C305"/>
  <c r="I259"/>
  <c r="GP41" i="184" s="1"/>
  <c r="I211" i="7"/>
  <c r="GP31" i="184" s="1"/>
  <c r="I185" i="7"/>
  <c r="GP27" i="184" s="1"/>
  <c r="C166" i="7"/>
  <c r="F117"/>
  <c r="I101"/>
  <c r="GP14" i="184" s="1"/>
  <c r="C49" i="7"/>
  <c r="F23"/>
  <c r="D16" i="139"/>
  <c r="C93" i="101"/>
  <c r="AF128" i="184" s="1"/>
  <c r="D106" i="109"/>
  <c r="S22" i="101"/>
  <c r="D78" i="175"/>
  <c r="J19" i="9"/>
  <c r="D89" i="116"/>
  <c r="B98" i="102"/>
  <c r="C71" i="98"/>
  <c r="K65" i="16"/>
  <c r="K20" i="97"/>
  <c r="I111" i="7"/>
  <c r="GP16" i="184" s="1"/>
  <c r="E89" i="116"/>
  <c r="K93" i="101"/>
  <c r="S46"/>
  <c r="S41"/>
  <c r="J38" i="99"/>
  <c r="J65" i="16"/>
  <c r="K28" i="97"/>
  <c r="F241" i="7"/>
  <c r="F111"/>
  <c r="F65" i="100"/>
  <c r="F82" i="102"/>
  <c r="B12" i="175"/>
  <c r="F51" i="116"/>
  <c r="B55"/>
  <c r="F46"/>
  <c r="E92" i="115"/>
  <c r="W93" i="101"/>
  <c r="J93"/>
  <c r="AF119" i="184" s="1"/>
  <c r="F38" i="99"/>
  <c r="D71" i="184" s="1"/>
  <c r="I91" i="97"/>
  <c r="K38" i="9"/>
  <c r="I324" i="7"/>
  <c r="GP51" i="184" s="1"/>
  <c r="C280" i="7"/>
  <c r="D49"/>
  <c r="S91" i="101"/>
  <c r="D92" i="115"/>
  <c r="H91" i="97"/>
  <c r="D90" i="9"/>
  <c r="I292" i="7"/>
  <c r="GP46" i="184" s="1"/>
  <c r="G266" i="7"/>
  <c r="F81"/>
  <c r="E90"/>
  <c r="D90"/>
  <c r="F59" i="102"/>
  <c r="K27" i="9"/>
  <c r="G55" i="116"/>
  <c r="H52" i="47"/>
  <c r="S67" i="101"/>
  <c r="T93"/>
  <c r="N91" i="97"/>
  <c r="B266" i="7"/>
  <c r="I179"/>
  <c r="GP26" i="184" s="1"/>
  <c r="H145" i="7"/>
  <c r="E49"/>
  <c r="F64" i="116"/>
  <c r="F30"/>
  <c r="B79" i="139"/>
  <c r="D79" s="1"/>
  <c r="B55"/>
  <c r="D55" s="1"/>
  <c r="B33"/>
  <c r="B9"/>
  <c r="G52" i="47"/>
  <c r="D98" i="102"/>
  <c r="F35"/>
  <c r="S71" i="101"/>
  <c r="E91" i="16"/>
  <c r="G90" i="9"/>
  <c r="E266" i="7"/>
  <c r="G204"/>
  <c r="I136"/>
  <c r="GP20" i="184" s="1"/>
  <c r="G145" i="7"/>
  <c r="O93" i="101"/>
  <c r="AF121" i="184" s="1"/>
  <c r="C92" i="115"/>
  <c r="B91" i="97"/>
  <c r="B25" i="117"/>
  <c r="F22"/>
  <c r="F25" s="1"/>
  <c r="F35" i="116"/>
  <c r="G106" i="109"/>
  <c r="F20" i="47"/>
  <c r="N43" i="106"/>
  <c r="S30" i="101"/>
  <c r="D91" i="16"/>
  <c r="D91" i="97"/>
  <c r="F90" i="9"/>
  <c r="P93" i="101"/>
  <c r="D93"/>
  <c r="J65" i="100"/>
  <c r="P91" i="97"/>
  <c r="C91"/>
  <c r="E90" i="9"/>
  <c r="H357" i="7"/>
  <c r="I129"/>
  <c r="GP19" i="184" s="1"/>
  <c r="B85" i="116"/>
  <c r="F85" s="1"/>
  <c r="B77"/>
  <c r="F77" s="1"/>
  <c r="B69"/>
  <c r="S54" i="101"/>
  <c r="C106" i="109"/>
  <c r="B106"/>
  <c r="D16" i="175" l="1"/>
  <c r="D58"/>
  <c r="D20"/>
  <c r="D17" i="139"/>
  <c r="B44"/>
  <c r="D44" s="1"/>
  <c r="AP16" i="184"/>
  <c r="AF116"/>
  <c r="AF122"/>
  <c r="D54" i="175"/>
  <c r="D71" i="139"/>
  <c r="D12" i="175"/>
  <c r="D44"/>
  <c r="D32"/>
  <c r="AP15" i="184"/>
  <c r="D82" i="175"/>
  <c r="K85" i="184"/>
  <c r="D51" i="139"/>
  <c r="AG105" i="184"/>
  <c r="D59" i="139"/>
  <c r="D67"/>
  <c r="AP12" i="184"/>
  <c r="F305" i="7"/>
  <c r="N78" i="184" s="1"/>
  <c r="AE144"/>
  <c r="D75" i="139"/>
  <c r="AP10" i="184"/>
  <c r="N63"/>
  <c r="O65"/>
  <c r="N65"/>
  <c r="O64"/>
  <c r="O63"/>
  <c r="N64"/>
  <c r="BM34"/>
  <c r="CG5"/>
  <c r="W72"/>
  <c r="B47" i="175"/>
  <c r="M43" i="184"/>
  <c r="O45"/>
  <c r="M45"/>
  <c r="AQ48"/>
  <c r="D66" i="175"/>
  <c r="D63" i="139"/>
  <c r="I86" i="184"/>
  <c r="AQ50"/>
  <c r="H86"/>
  <c r="Y6"/>
  <c r="AC144"/>
  <c r="AC142"/>
  <c r="BG15"/>
  <c r="BG17" s="1"/>
  <c r="C30"/>
  <c r="D22"/>
  <c r="B22"/>
  <c r="B27"/>
  <c r="A27" s="1"/>
  <c r="C29"/>
  <c r="B29" s="1"/>
  <c r="M36"/>
  <c r="BG7"/>
  <c r="BG12"/>
  <c r="BG14" s="1"/>
  <c r="BG9"/>
  <c r="BG11" s="1"/>
  <c r="AF115"/>
  <c r="AX35"/>
  <c r="AW35" s="1"/>
  <c r="AF120"/>
  <c r="K86"/>
  <c r="AP14"/>
  <c r="K65"/>
  <c r="BQ16"/>
  <c r="AF90"/>
  <c r="J65"/>
  <c r="I70"/>
  <c r="F266" i="7"/>
  <c r="C47" i="175"/>
  <c r="AP13" i="184"/>
  <c r="V73"/>
  <c r="M46"/>
  <c r="O46"/>
  <c r="W73"/>
  <c r="J90" i="9"/>
  <c r="O47" i="184"/>
  <c r="M47"/>
  <c r="D21" i="139"/>
  <c r="J86" i="184"/>
  <c r="O38" s="1"/>
  <c r="M38"/>
  <c r="GY41"/>
  <c r="GR41"/>
  <c r="GX41" s="1"/>
  <c r="GY11"/>
  <c r="GR11"/>
  <c r="GX11" s="1"/>
  <c r="GY22"/>
  <c r="GR22"/>
  <c r="GX22" s="1"/>
  <c r="GR35"/>
  <c r="GX35" s="1"/>
  <c r="GY35"/>
  <c r="GY31"/>
  <c r="GR31"/>
  <c r="GX31" s="1"/>
  <c r="GY34"/>
  <c r="GR34"/>
  <c r="GX34" s="1"/>
  <c r="GY39"/>
  <c r="GR39"/>
  <c r="GX39" s="1"/>
  <c r="GY15"/>
  <c r="GR15"/>
  <c r="GX15" s="1"/>
  <c r="GY56"/>
  <c r="GR56"/>
  <c r="GX56" s="1"/>
  <c r="GY44"/>
  <c r="GR44"/>
  <c r="GX44" s="1"/>
  <c r="GY32"/>
  <c r="GR32"/>
  <c r="GX32" s="1"/>
  <c r="GY23"/>
  <c r="GR23"/>
  <c r="GX23" s="1"/>
  <c r="GY24"/>
  <c r="GR24"/>
  <c r="GX24" s="1"/>
  <c r="GY52"/>
  <c r="GR52"/>
  <c r="GX52" s="1"/>
  <c r="GR17"/>
  <c r="GX17" s="1"/>
  <c r="GY17"/>
  <c r="GR47"/>
  <c r="GX47" s="1"/>
  <c r="GY47"/>
  <c r="GY13"/>
  <c r="GR13"/>
  <c r="GX13" s="1"/>
  <c r="GY30"/>
  <c r="GR30"/>
  <c r="GX30" s="1"/>
  <c r="GR57"/>
  <c r="GX57" s="1"/>
  <c r="GY57"/>
  <c r="GY18"/>
  <c r="GR18"/>
  <c r="GX18" s="1"/>
  <c r="GY45"/>
  <c r="GR45"/>
  <c r="GX45" s="1"/>
  <c r="GY16"/>
  <c r="GR16"/>
  <c r="GX16" s="1"/>
  <c r="GY58"/>
  <c r="GR58"/>
  <c r="GX58" s="1"/>
  <c r="GY29"/>
  <c r="GR29"/>
  <c r="GX29" s="1"/>
  <c r="GY50"/>
  <c r="GR50"/>
  <c r="GX50" s="1"/>
  <c r="GR53"/>
  <c r="GX53" s="1"/>
  <c r="GY53"/>
  <c r="GY43"/>
  <c r="GR43"/>
  <c r="GX43" s="1"/>
  <c r="GP36"/>
  <c r="GY27"/>
  <c r="GR27"/>
  <c r="GX27" s="1"/>
  <c r="GY51"/>
  <c r="GR51"/>
  <c r="GX51" s="1"/>
  <c r="GY25"/>
  <c r="GR25"/>
  <c r="GX25" s="1"/>
  <c r="GR10"/>
  <c r="GX10" s="1"/>
  <c r="GY10"/>
  <c r="GY49"/>
  <c r="GR49"/>
  <c r="GX49" s="1"/>
  <c r="GY55"/>
  <c r="GR55"/>
  <c r="GX55" s="1"/>
  <c r="GY40"/>
  <c r="GR40"/>
  <c r="GX40" s="1"/>
  <c r="GY33"/>
  <c r="GR33"/>
  <c r="GX33" s="1"/>
  <c r="GY14"/>
  <c r="GR14"/>
  <c r="GX14" s="1"/>
  <c r="GY48"/>
  <c r="GR48"/>
  <c r="GX48" s="1"/>
  <c r="GY21"/>
  <c r="GR21"/>
  <c r="GX21" s="1"/>
  <c r="GY54"/>
  <c r="GR54"/>
  <c r="GX54" s="1"/>
  <c r="GY9"/>
  <c r="GR9"/>
  <c r="GX9" s="1"/>
  <c r="GY26"/>
  <c r="GR26"/>
  <c r="GX26" s="1"/>
  <c r="GY46"/>
  <c r="GR46"/>
  <c r="GX46" s="1"/>
  <c r="GR42"/>
  <c r="GX42" s="1"/>
  <c r="GY42"/>
  <c r="GY8"/>
  <c r="GR8"/>
  <c r="GX8" s="1"/>
  <c r="GY7"/>
  <c r="GR7"/>
  <c r="GX7" s="1"/>
  <c r="GY19"/>
  <c r="GR19"/>
  <c r="GX19" s="1"/>
  <c r="GY20"/>
  <c r="GR20"/>
  <c r="GX20" s="1"/>
  <c r="GR28"/>
  <c r="GX28" s="1"/>
  <c r="GY28"/>
  <c r="GY12"/>
  <c r="GR12"/>
  <c r="GX12" s="1"/>
  <c r="F166" i="7"/>
  <c r="N76" i="184" s="1"/>
  <c r="GY5"/>
  <c r="GR5"/>
  <c r="GX5" s="1"/>
  <c r="GY2"/>
  <c r="GR2"/>
  <c r="GX2" s="1"/>
  <c r="GY6"/>
  <c r="GR6"/>
  <c r="GX6" s="1"/>
  <c r="F49" i="7"/>
  <c r="N73" i="184" s="1"/>
  <c r="GY3"/>
  <c r="GR3"/>
  <c r="F145" i="7"/>
  <c r="N75" i="184" s="1"/>
  <c r="F90" i="7"/>
  <c r="N74" i="184" s="1"/>
  <c r="F280" i="7"/>
  <c r="F55" i="116"/>
  <c r="D33" i="139"/>
  <c r="K90" i="9"/>
  <c r="K91" i="16"/>
  <c r="C10" i="114"/>
  <c r="M48" i="184" s="1"/>
  <c r="D50" i="175"/>
  <c r="F374" i="7"/>
  <c r="N80" i="184" s="1"/>
  <c r="B376" i="7"/>
  <c r="F23" i="47" s="1"/>
  <c r="F204" i="7"/>
  <c r="I280"/>
  <c r="I204"/>
  <c r="I49"/>
  <c r="I305"/>
  <c r="C376"/>
  <c r="I266"/>
  <c r="F41" i="100"/>
  <c r="E4" s="1"/>
  <c r="D9" i="139"/>
  <c r="D74" i="175"/>
  <c r="K91" i="97"/>
  <c r="D70" i="184" s="1"/>
  <c r="V63" s="1"/>
  <c r="F357" i="7"/>
  <c r="I145"/>
  <c r="J91" i="16"/>
  <c r="E376" i="7"/>
  <c r="H376"/>
  <c r="I90"/>
  <c r="I374"/>
  <c r="I166"/>
  <c r="I357"/>
  <c r="D36" i="175"/>
  <c r="G376" i="7"/>
  <c r="AA77" i="184" s="1"/>
  <c r="C86" i="139"/>
  <c r="C89" i="175"/>
  <c r="D376" i="7"/>
  <c r="F98" i="102"/>
  <c r="AG123" i="184" s="1"/>
  <c r="B86" i="139"/>
  <c r="B89" i="175"/>
  <c r="S93" i="101"/>
  <c r="B89" i="116"/>
  <c r="F69"/>
  <c r="F89" s="1"/>
  <c r="O31" i="184" l="1"/>
  <c r="M31"/>
  <c r="C4" i="100"/>
  <c r="V67" i="184"/>
  <c r="D47" i="175"/>
  <c r="E42" i="184"/>
  <c r="N85"/>
  <c r="O85" s="1"/>
  <c r="E41"/>
  <c r="U67"/>
  <c r="U68"/>
  <c r="E40"/>
  <c r="N86"/>
  <c r="O86" s="1"/>
  <c r="E44"/>
  <c r="H65"/>
  <c r="AA144"/>
  <c r="AG126"/>
  <c r="BC12"/>
  <c r="BC14" s="1"/>
  <c r="BD3"/>
  <c r="Y20"/>
  <c r="BC7"/>
  <c r="S63"/>
  <c r="BL101"/>
  <c r="AR53"/>
  <c r="AQ53" s="1"/>
  <c r="BL100"/>
  <c r="D21"/>
  <c r="BL99"/>
  <c r="B21"/>
  <c r="AG144"/>
  <c r="BC15"/>
  <c r="BC17" s="1"/>
  <c r="B24"/>
  <c r="A24" s="1"/>
  <c r="S67"/>
  <c r="AJ53"/>
  <c r="AI54" s="1"/>
  <c r="BC9"/>
  <c r="BC11" s="1"/>
  <c r="AJ57"/>
  <c r="E43"/>
  <c r="U63"/>
  <c r="AA140"/>
  <c r="AF126"/>
  <c r="AA142"/>
  <c r="V68"/>
  <c r="I65"/>
  <c r="E45"/>
  <c r="AP48"/>
  <c r="B30"/>
  <c r="B31"/>
  <c r="AI48"/>
  <c r="AP50"/>
  <c r="AI50"/>
  <c r="E38"/>
  <c r="N77"/>
  <c r="L77" s="1"/>
  <c r="AE140"/>
  <c r="AF105"/>
  <c r="AE3" s="1"/>
  <c r="AE142"/>
  <c r="BS102"/>
  <c r="S15"/>
  <c r="E39"/>
  <c r="GY36"/>
  <c r="GY59" s="1"/>
  <c r="GR36"/>
  <c r="GX36" s="1"/>
  <c r="F376" i="7"/>
  <c r="V72" i="184" s="1"/>
  <c r="N79"/>
  <c r="GP59"/>
  <c r="L74"/>
  <c r="AB77"/>
  <c r="K66"/>
  <c r="K64"/>
  <c r="J64"/>
  <c r="J66"/>
  <c r="GX3"/>
  <c r="D86" i="139"/>
  <c r="D89" i="175"/>
  <c r="I376" i="7"/>
  <c r="D69" i="184" s="1"/>
  <c r="O33" s="1"/>
  <c r="H66" l="1"/>
  <c r="M29"/>
  <c r="O29"/>
  <c r="G88" s="1"/>
  <c r="AX33"/>
  <c r="AW33" s="1"/>
  <c r="M33"/>
  <c r="GS27"/>
  <c r="GT27" s="1"/>
  <c r="GS50"/>
  <c r="GT50" s="1"/>
  <c r="GS17"/>
  <c r="GT17" s="1"/>
  <c r="GS47"/>
  <c r="GT47" s="1"/>
  <c r="GS31"/>
  <c r="GT31" s="1"/>
  <c r="GS40"/>
  <c r="GT40" s="1"/>
  <c r="GS8"/>
  <c r="GT8" s="1"/>
  <c r="GS25"/>
  <c r="GT25" s="1"/>
  <c r="GS9"/>
  <c r="GT9" s="1"/>
  <c r="GS43"/>
  <c r="GT43" s="1"/>
  <c r="GS42"/>
  <c r="GT42" s="1"/>
  <c r="GS45"/>
  <c r="GT45" s="1"/>
  <c r="GS39"/>
  <c r="GT39" s="1"/>
  <c r="GS33"/>
  <c r="GT33" s="1"/>
  <c r="GS23"/>
  <c r="GT23" s="1"/>
  <c r="GS24"/>
  <c r="GT24" s="1"/>
  <c r="GS32"/>
  <c r="GT32" s="1"/>
  <c r="GS3"/>
  <c r="GT3" s="1"/>
  <c r="GS10"/>
  <c r="GT10" s="1"/>
  <c r="GS58"/>
  <c r="GT58" s="1"/>
  <c r="S3"/>
  <c r="S20"/>
  <c r="L73"/>
  <c r="L76"/>
  <c r="L78"/>
  <c r="L80"/>
  <c r="L75"/>
  <c r="L79"/>
  <c r="GS53"/>
  <c r="GT53" s="1"/>
  <c r="GS57"/>
  <c r="GT57" s="1"/>
  <c r="GS20"/>
  <c r="GT20" s="1"/>
  <c r="GS41"/>
  <c r="GT41" s="1"/>
  <c r="GS52"/>
  <c r="GT52" s="1"/>
  <c r="GS13"/>
  <c r="GT13" s="1"/>
  <c r="GS30"/>
  <c r="GT30" s="1"/>
  <c r="GS6"/>
  <c r="GT6" s="1"/>
  <c r="GS54"/>
  <c r="GT54" s="1"/>
  <c r="GS12"/>
  <c r="GT12" s="1"/>
  <c r="GS2"/>
  <c r="GT2" s="1"/>
  <c r="GS48"/>
  <c r="GT48" s="1"/>
  <c r="GS51"/>
  <c r="GT51" s="1"/>
  <c r="GS7"/>
  <c r="GT7" s="1"/>
  <c r="GS14"/>
  <c r="GT14" s="1"/>
  <c r="GS28"/>
  <c r="GT28" s="1"/>
  <c r="AE115"/>
  <c r="Y3"/>
  <c r="Z144"/>
  <c r="AH144" s="1"/>
  <c r="AB20" s="1"/>
  <c r="AA20" s="1"/>
  <c r="AE120"/>
  <c r="AA120" s="1"/>
  <c r="E46"/>
  <c r="R15"/>
  <c r="S19"/>
  <c r="T20"/>
  <c r="T19"/>
  <c r="BQ21"/>
  <c r="BS108"/>
  <c r="BT25" s="1"/>
  <c r="BQ25" s="1"/>
  <c r="BS109"/>
  <c r="BT26" s="1"/>
  <c r="BQ26" s="1"/>
  <c r="BS107"/>
  <c r="BT24" s="1"/>
  <c r="BQ24" s="1"/>
  <c r="GS46"/>
  <c r="GT46" s="1"/>
  <c r="GS29"/>
  <c r="GT29" s="1"/>
  <c r="GS11"/>
  <c r="GT11" s="1"/>
  <c r="GS44"/>
  <c r="GT44" s="1"/>
  <c r="GS37"/>
  <c r="GS55"/>
  <c r="GT55" s="1"/>
  <c r="GS19"/>
  <c r="GT19" s="1"/>
  <c r="GS15"/>
  <c r="GT15" s="1"/>
  <c r="GS49"/>
  <c r="GT49" s="1"/>
  <c r="GS35"/>
  <c r="GT35" s="1"/>
  <c r="GS18"/>
  <c r="GT18" s="1"/>
  <c r="GS16"/>
  <c r="GT16" s="1"/>
  <c r="GR59"/>
  <c r="GS5"/>
  <c r="GT5" s="1"/>
  <c r="GS34"/>
  <c r="GT34" s="1"/>
  <c r="GS36"/>
  <c r="GT36" s="1"/>
  <c r="GS38"/>
  <c r="GT38" s="1"/>
  <c r="GS21"/>
  <c r="GT21" s="1"/>
  <c r="GS56"/>
  <c r="GT56" s="1"/>
  <c r="GS26"/>
  <c r="GT26" s="1"/>
  <c r="GS22"/>
  <c r="GT22" s="1"/>
  <c r="GS4"/>
  <c r="GT4" s="1"/>
  <c r="AE13"/>
  <c r="AE124"/>
  <c r="AE121"/>
  <c r="AA121" s="1"/>
  <c r="AE116"/>
  <c r="AA116" s="1"/>
  <c r="AE119"/>
  <c r="AE122"/>
  <c r="AE125"/>
  <c r="AE118"/>
  <c r="AA118" s="1"/>
  <c r="AE123"/>
  <c r="B22" i="39"/>
  <c r="B21"/>
  <c r="U64" i="184"/>
  <c r="H64"/>
  <c r="G4" i="100"/>
  <c r="A4" s="1"/>
  <c r="BK102" i="184"/>
  <c r="BJ3" s="1"/>
  <c r="BC3"/>
  <c r="BK100"/>
  <c r="F39"/>
  <c r="AX30"/>
  <c r="D39"/>
  <c r="D20"/>
  <c r="AX3"/>
  <c r="B20"/>
  <c r="BA7"/>
  <c r="B17"/>
  <c r="BA12"/>
  <c r="BA14" s="1"/>
  <c r="D45"/>
  <c r="S68"/>
  <c r="BQ3"/>
  <c r="BP3" s="1"/>
  <c r="D41"/>
  <c r="F43"/>
  <c r="D43"/>
  <c r="S64"/>
  <c r="D44"/>
  <c r="BE9"/>
  <c r="BE11" s="1"/>
  <c r="BE12"/>
  <c r="BE14" s="1"/>
  <c r="I64"/>
  <c r="M3"/>
  <c r="AA12"/>
  <c r="AE100"/>
  <c r="AE92"/>
  <c r="AE93"/>
  <c r="BK101"/>
  <c r="BK99"/>
  <c r="M25"/>
  <c r="AE87"/>
  <c r="AE104"/>
  <c r="AG142"/>
  <c r="Z142" s="1"/>
  <c r="AH142" s="1"/>
  <c r="AB18" s="1"/>
  <c r="AA18" s="1"/>
  <c r="AE95"/>
  <c r="AE88"/>
  <c r="AA88" s="1"/>
  <c r="F41"/>
  <c r="BS97"/>
  <c r="V64"/>
  <c r="AE86"/>
  <c r="AE97"/>
  <c r="AE101"/>
  <c r="F45"/>
  <c r="BA9"/>
  <c r="BA11" s="1"/>
  <c r="Y18"/>
  <c r="AE96"/>
  <c r="AE103"/>
  <c r="AE84"/>
  <c r="F40"/>
  <c r="D40"/>
  <c r="F42"/>
  <c r="AE89"/>
  <c r="BA15"/>
  <c r="BA17" s="1"/>
  <c r="BS99"/>
  <c r="BS92" s="1"/>
  <c r="BR19"/>
  <c r="AE90"/>
  <c r="AE91"/>
  <c r="AG140"/>
  <c r="Z140" s="1"/>
  <c r="F44"/>
  <c r="BE15"/>
  <c r="BE17" s="1"/>
  <c r="D42"/>
  <c r="BS98"/>
  <c r="BS91" s="1"/>
  <c r="B35"/>
  <c r="M27"/>
  <c r="AE98"/>
  <c r="AE85"/>
  <c r="AE94"/>
  <c r="I66"/>
  <c r="H35"/>
  <c r="AE102"/>
  <c r="GU7"/>
  <c r="GU25"/>
  <c r="GU54"/>
  <c r="GU30"/>
  <c r="GU2"/>
  <c r="GU45"/>
  <c r="GU41"/>
  <c r="GU10"/>
  <c r="GU9"/>
  <c r="GU17"/>
  <c r="GU56"/>
  <c r="GU22"/>
  <c r="GX59"/>
  <c r="D63" s="1"/>
  <c r="GU52"/>
  <c r="GU31"/>
  <c r="GU53"/>
  <c r="GU38"/>
  <c r="GU57"/>
  <c r="GU48"/>
  <c r="GU47"/>
  <c r="GU55"/>
  <c r="GU58"/>
  <c r="GU5"/>
  <c r="GU34"/>
  <c r="GU16"/>
  <c r="GU49"/>
  <c r="GU27"/>
  <c r="GU37"/>
  <c r="GU32"/>
  <c r="GU14"/>
  <c r="GU12"/>
  <c r="GU20"/>
  <c r="GU21"/>
  <c r="GU19"/>
  <c r="GU42"/>
  <c r="GU15"/>
  <c r="GU51"/>
  <c r="GU50"/>
  <c r="GU24"/>
  <c r="GU36"/>
  <c r="GU18"/>
  <c r="GU43"/>
  <c r="GU6"/>
  <c r="GU3"/>
  <c r="GU26"/>
  <c r="GU40"/>
  <c r="GU23"/>
  <c r="GU44"/>
  <c r="GU4"/>
  <c r="GU8"/>
  <c r="GU13"/>
  <c r="GU11"/>
  <c r="GU39"/>
  <c r="GU46"/>
  <c r="GU29"/>
  <c r="GU35"/>
  <c r="GU28"/>
  <c r="GU33"/>
  <c r="F38"/>
  <c r="D38"/>
  <c r="AA119" l="1"/>
  <c r="AA115"/>
  <c r="AA122"/>
  <c r="AA87"/>
  <c r="AA89"/>
  <c r="AA124"/>
  <c r="AA123"/>
  <c r="K55"/>
  <c r="H55" s="1"/>
  <c r="K54"/>
  <c r="H54" s="1"/>
  <c r="K53"/>
  <c r="H53" s="1"/>
  <c r="K51"/>
  <c r="H51" s="1"/>
  <c r="L19"/>
  <c r="P19" s="1"/>
  <c r="L21"/>
  <c r="N21" s="1"/>
  <c r="L20"/>
  <c r="P20" s="1"/>
  <c r="AE34"/>
  <c r="Y27"/>
  <c r="Y37"/>
  <c r="D46"/>
  <c r="AA102"/>
  <c r="AA103"/>
  <c r="AA91"/>
  <c r="AA95"/>
  <c r="AA92"/>
  <c r="AA98"/>
  <c r="AA101"/>
  <c r="AA100"/>
  <c r="AE27"/>
  <c r="Y32"/>
  <c r="AA97"/>
  <c r="AA104"/>
  <c r="AA90"/>
  <c r="AA96"/>
  <c r="AA94"/>
  <c r="AA93"/>
  <c r="AJ44"/>
  <c r="AN44"/>
  <c r="AJ34" s="1"/>
  <c r="F46"/>
  <c r="AH140"/>
  <c r="AB22" s="1"/>
  <c r="AA22" s="1"/>
  <c r="Y12"/>
  <c r="BS100"/>
  <c r="BS90"/>
  <c r="D65"/>
  <c r="D64"/>
  <c r="GU59"/>
  <c r="K52"/>
  <c r="H52" s="1"/>
  <c r="H48" s="1"/>
  <c r="AE17" l="1"/>
  <c r="AH17" s="1"/>
  <c r="AE18"/>
  <c r="AH18" s="1"/>
  <c r="AE16"/>
  <c r="AH16" s="1"/>
  <c r="AE20"/>
  <c r="AH20" s="1"/>
  <c r="AE19"/>
  <c r="AH19" s="1"/>
  <c r="N19"/>
  <c r="P21"/>
  <c r="M15"/>
  <c r="L18" s="1"/>
  <c r="N20"/>
  <c r="AE8"/>
  <c r="AH8" s="1"/>
  <c r="AE6"/>
  <c r="AH6" s="1"/>
  <c r="AE10"/>
  <c r="AH10" s="1"/>
  <c r="AE7"/>
  <c r="AH7" s="1"/>
  <c r="AE9"/>
  <c r="AH9" s="1"/>
  <c r="L15" l="1"/>
  <c r="P18"/>
  <c r="N18"/>
</calcChain>
</file>

<file path=xl/sharedStrings.xml><?xml version="1.0" encoding="utf-8"?>
<sst xmlns="http://schemas.openxmlformats.org/spreadsheetml/2006/main" count="6850" uniqueCount="3015">
  <si>
    <r>
      <t>Ces agents</t>
    </r>
    <r>
      <rPr>
        <sz val="10"/>
        <rFont val="Arial"/>
        <family val="2"/>
      </rPr>
      <t xml:space="preserve"> sont recensés par </t>
    </r>
    <r>
      <rPr>
        <b/>
        <sz val="10"/>
        <rFont val="Arial"/>
        <family val="2"/>
        <charset val="1"/>
      </rPr>
      <t>sexe</t>
    </r>
    <r>
      <rPr>
        <sz val="10"/>
        <rFont val="Arial"/>
        <family val="2"/>
      </rPr>
      <t xml:space="preserve"> et </t>
    </r>
    <r>
      <rPr>
        <b/>
        <sz val="10"/>
        <rFont val="Arial"/>
        <family val="2"/>
        <charset val="1"/>
      </rPr>
      <t>catégorie hiérarchique</t>
    </r>
    <r>
      <rPr>
        <sz val="10"/>
        <rFont val="Arial"/>
        <family val="2"/>
      </rPr>
      <t>.</t>
    </r>
  </si>
  <si>
    <t>Aux termes de l'article 133 de la loi n° 2012-347 du 12 mars 2012, les fonctionnaires relevant de la loi du 13 juillet 1983 portant droits et obligations des fonctionnaires peuvent exercer leurs fonctions dans le cadre du télétravail tel qu'il est défini au premier alinéa de l'article L. 1222-9 du Code du travail. Le décret n° 2016-151 du 11 février 2016 relatif aux conditions et modalités de mise en oeuvre du télétravail dans la fonction publique et la magistrature en fixe les modalités de mise en oeuvre.</t>
  </si>
  <si>
    <t>Charte du temps</t>
  </si>
  <si>
    <r>
      <t>L</t>
    </r>
    <r>
      <rPr>
        <b/>
        <sz val="10"/>
        <rFont val="Arial"/>
        <family val="2"/>
      </rPr>
      <t>’indicateur 2.2.5</t>
    </r>
    <r>
      <rPr>
        <sz val="10"/>
        <rFont val="Arial"/>
        <family val="2"/>
      </rPr>
      <t xml:space="preserve"> recense l'existence de</t>
    </r>
    <r>
      <rPr>
        <b/>
        <sz val="10"/>
        <rFont val="Arial"/>
        <family val="2"/>
        <charset val="1"/>
      </rPr>
      <t xml:space="preserve"> charte(s) du temps</t>
    </r>
    <r>
      <rPr>
        <sz val="10"/>
        <rFont val="Arial"/>
        <family val="2"/>
      </rPr>
      <t xml:space="preserve"> au sein de la collectivité.</t>
    </r>
  </si>
  <si>
    <t>Nombre de jours de carence</t>
  </si>
  <si>
    <r>
      <t>L</t>
    </r>
    <r>
      <rPr>
        <b/>
        <sz val="10"/>
        <rFont val="Arial"/>
        <family val="2"/>
        <charset val="1"/>
      </rPr>
      <t>’indicateur 2.2.6</t>
    </r>
    <r>
      <rPr>
        <sz val="10"/>
        <rFont val="Arial"/>
        <family val="2"/>
      </rPr>
      <t xml:space="preserve"> recense le </t>
    </r>
    <r>
      <rPr>
        <b/>
        <sz val="10"/>
        <rFont val="Arial"/>
        <family val="2"/>
      </rPr>
      <t>nombre de jours de carence</t>
    </r>
    <r>
      <rPr>
        <sz val="10"/>
        <rFont val="Arial"/>
        <family val="2"/>
      </rPr>
      <t xml:space="preserve"> et les </t>
    </r>
    <r>
      <rPr>
        <b/>
        <sz val="10"/>
        <rFont val="Arial"/>
        <family val="2"/>
      </rPr>
      <t>sommes retenues</t>
    </r>
    <r>
      <rPr>
        <sz val="10"/>
        <rFont val="Arial"/>
        <family val="2"/>
      </rPr>
      <t xml:space="preserve"> en montant brut au titre de l’application de la journée de carence. </t>
    </r>
  </si>
  <si>
    <r>
      <rPr>
        <sz val="10"/>
        <rFont val="Arial"/>
        <family val="2"/>
      </rPr>
      <t xml:space="preserve">L’indicateur 1.2.2. détaille les effectifs, en nombre de personnes physiques </t>
    </r>
    <r>
      <rPr>
        <b/>
        <sz val="10"/>
        <rFont val="Arial"/>
        <family val="2"/>
        <charset val="1"/>
      </rPr>
      <t>(1 personne = 1 unité).</t>
    </r>
  </si>
  <si>
    <t>Précision sur les personnes bénéficiaires de l'obligation d'emploi :</t>
  </si>
  <si>
    <t>Tableau 1 :</t>
  </si>
  <si>
    <r>
      <t>Remarque :</t>
    </r>
    <r>
      <rPr>
        <b/>
        <i/>
        <sz val="10"/>
        <rFont val="Arial"/>
        <family val="2"/>
      </rPr>
      <t xml:space="preserve"> </t>
    </r>
    <r>
      <rPr>
        <i/>
        <sz val="10"/>
        <rFont val="Arial"/>
        <family val="2"/>
      </rPr>
      <t>seules les collectivités ayant répondu</t>
    </r>
    <r>
      <rPr>
        <b/>
        <i/>
        <sz val="10"/>
        <rFont val="Arial"/>
        <family val="2"/>
      </rPr>
      <t xml:space="preserve"> 'oui' </t>
    </r>
    <r>
      <rPr>
        <i/>
        <sz val="10"/>
        <rFont val="Arial"/>
        <family val="2"/>
      </rPr>
      <t>à la question suivante doivent remplir les</t>
    </r>
    <r>
      <rPr>
        <b/>
        <i/>
        <sz val="10"/>
        <rFont val="Arial"/>
        <family val="2"/>
      </rPr>
      <t xml:space="preserve"> tableaux 1 et 2.</t>
    </r>
  </si>
  <si>
    <r>
      <rPr>
        <u/>
        <sz val="10"/>
        <rFont val="Arial"/>
        <family val="2"/>
      </rPr>
      <t>tableau 1</t>
    </r>
    <r>
      <rPr>
        <sz val="10"/>
        <rFont val="Arial"/>
        <family val="2"/>
      </rPr>
      <t xml:space="preserve"> : emploi permanent</t>
    </r>
  </si>
  <si>
    <r>
      <rPr>
        <u/>
        <sz val="10"/>
        <rFont val="Arial"/>
        <family val="2"/>
      </rPr>
      <t xml:space="preserve">tableau 2 </t>
    </r>
    <r>
      <rPr>
        <sz val="10"/>
        <rFont val="Arial"/>
        <family val="2"/>
      </rPr>
      <t>: emploi NON permanent</t>
    </r>
  </si>
  <si>
    <r>
      <t>Montant total des marchés passés dans l'année (</t>
    </r>
    <r>
      <rPr>
        <b/>
        <sz val="9"/>
        <rFont val="Arial"/>
        <family val="2"/>
      </rPr>
      <t>sous-traitance</t>
    </r>
    <r>
      <rPr>
        <sz val="9"/>
        <rFont val="Arial"/>
        <family val="2"/>
      </rPr>
      <t>) *</t>
    </r>
  </si>
  <si>
    <r>
      <t xml:space="preserve">Dépenses affectées à des mesures adoptées en vue de </t>
    </r>
    <r>
      <rPr>
        <b/>
        <sz val="10"/>
        <rFont val="Arial"/>
        <family val="2"/>
      </rPr>
      <t>faciliter l'insertion</t>
    </r>
    <r>
      <rPr>
        <sz val="10"/>
        <rFont val="Arial"/>
        <family val="2"/>
      </rPr>
      <t xml:space="preserve"> professionnelle des personnes en situation de handicap dans la fonction publique</t>
    </r>
  </si>
  <si>
    <r>
      <t xml:space="preserve">Sous réserve de l’exception ci-dessous, </t>
    </r>
    <r>
      <rPr>
        <b/>
        <i/>
        <sz val="10"/>
        <rFont val="Arial"/>
        <family val="2"/>
      </rPr>
      <t>tous les fonctionnaires à temps partiel sont à recenser,</t>
    </r>
    <r>
      <rPr>
        <i/>
        <sz val="10"/>
        <rFont val="Arial"/>
        <family val="2"/>
        <charset val="1"/>
      </rPr>
      <t xml:space="preserve"> y compris les temps partiels de droit ou sur autorisation et les CPA. (La CPA été supprimée en 2011 mais elle s'applique toujours aux agents qui étaient déjà en CPA à cette date. Le décompte des CPA a toutefois été supprimé à l'indicateur 1.1.3, car il concerne un nombre marginal d'agents.)</t>
    </r>
  </si>
  <si>
    <r>
      <t xml:space="preserve">La </t>
    </r>
    <r>
      <rPr>
        <b/>
        <i/>
        <sz val="10"/>
        <rFont val="Arial"/>
        <family val="2"/>
      </rPr>
      <t>quotité de temps de travail</t>
    </r>
    <r>
      <rPr>
        <i/>
        <sz val="10"/>
        <rFont val="Arial"/>
        <family val="2"/>
        <charset val="1"/>
      </rPr>
      <t xml:space="preserve"> à prendre en compte est celle qui figure sur la </t>
    </r>
    <r>
      <rPr>
        <b/>
        <i/>
        <sz val="10"/>
        <rFont val="Arial"/>
        <family val="2"/>
      </rPr>
      <t>décision individuelle d’autorisation d’exercice à temps partiel</t>
    </r>
    <r>
      <rPr>
        <i/>
        <sz val="10"/>
        <rFont val="Arial"/>
        <family val="2"/>
        <charset val="1"/>
      </rPr>
      <t>, calculée en base annuelle par rapport à la durée légale du temps de travail. Cette quotité peut donc être différente de la durée hebdomadaire de service effectivement accomplie. Elle est également différente de la quotité rémunérée dans le cas particulier des temps partiels à 80% et à 90%.</t>
    </r>
  </si>
  <si>
    <r>
      <t>Les fonctionnaires qui bénéficient d’un</t>
    </r>
    <r>
      <rPr>
        <i/>
        <sz val="10"/>
        <rFont val="Arial"/>
        <family val="2"/>
      </rPr>
      <t xml:space="preserve"> </t>
    </r>
    <r>
      <rPr>
        <b/>
        <i/>
        <sz val="10"/>
        <rFont val="Arial"/>
        <family val="2"/>
      </rPr>
      <t>temps partiel pour raison thérapeutique</t>
    </r>
    <r>
      <rPr>
        <i/>
        <sz val="10"/>
        <rFont val="Arial"/>
        <family val="2"/>
        <charset val="1"/>
      </rPr>
      <t xml:space="preserve"> prévu par l’article 57-4 bis de la loi du 26 janvier 1984 après avis du comité médical ou de la commission de réforme, cette forme particulière de temps partiel n’étant pas considérée comme un « temps partiel choisi » relevant des dispositions de droit commun prévues par les articles 60 à 60 quater de la dite loi.</t>
    </r>
  </si>
  <si>
    <r>
      <rPr>
        <sz val="10"/>
        <rFont val="Arial"/>
        <family val="2"/>
      </rPr>
      <t>L’indicateur 1.1.3. détaille les effectifs, en nombre de personnes physiques</t>
    </r>
    <r>
      <rPr>
        <b/>
        <sz val="10"/>
        <rFont val="Arial"/>
        <family val="2"/>
        <charset val="1"/>
      </rPr>
      <t xml:space="preserve"> (1 personne = 1 unité).</t>
    </r>
  </si>
  <si>
    <r>
      <t>Ne pas remplir</t>
    </r>
    <r>
      <rPr>
        <sz val="10"/>
        <rFont val="Arial"/>
        <family val="2"/>
      </rPr>
      <t xml:space="preserve"> les</t>
    </r>
    <r>
      <rPr>
        <b/>
        <sz val="10"/>
        <rFont val="Arial"/>
        <family val="2"/>
        <charset val="1"/>
      </rPr>
      <t xml:space="preserve"> cellules grisées </t>
    </r>
    <r>
      <rPr>
        <sz val="10"/>
        <rFont val="Arial"/>
        <family val="2"/>
      </rPr>
      <t>(pré remplies par un zéro) qui font l’objet de</t>
    </r>
    <r>
      <rPr>
        <b/>
        <sz val="10"/>
        <rFont val="Arial"/>
        <family val="2"/>
        <charset val="1"/>
      </rPr>
      <t xml:space="preserve"> calculs automatiques.</t>
    </r>
  </si>
  <si>
    <r>
      <rPr>
        <sz val="10"/>
        <rFont val="Arial"/>
        <family val="2"/>
      </rPr>
      <t>*</t>
    </r>
    <r>
      <rPr>
        <b/>
        <sz val="10"/>
        <rFont val="Arial"/>
        <family val="2"/>
        <charset val="1"/>
      </rPr>
      <t xml:space="preserve"> </t>
    </r>
    <r>
      <rPr>
        <sz val="10"/>
        <rFont val="Arial"/>
        <family val="2"/>
      </rPr>
      <t>les</t>
    </r>
    <r>
      <rPr>
        <b/>
        <sz val="10"/>
        <rFont val="Arial"/>
        <family val="2"/>
        <charset val="1"/>
      </rPr>
      <t xml:space="preserve"> fonctionnaires (</t>
    </r>
    <r>
      <rPr>
        <sz val="10"/>
        <rFont val="Arial"/>
        <family val="2"/>
      </rPr>
      <t>titulaires et stagiaires)</t>
    </r>
  </si>
  <si>
    <r>
      <rPr>
        <sz val="10"/>
        <rFont val="Arial"/>
        <family val="2"/>
      </rPr>
      <t xml:space="preserve">*occupant un </t>
    </r>
    <r>
      <rPr>
        <b/>
        <sz val="10"/>
        <rFont val="Arial"/>
        <family val="2"/>
        <charset val="1"/>
      </rPr>
      <t>emploi permanent à</t>
    </r>
    <r>
      <rPr>
        <b/>
        <u/>
        <sz val="10"/>
        <rFont val="Arial"/>
        <family val="2"/>
        <charset val="1"/>
      </rPr>
      <t xml:space="preserve"> temps complet</t>
    </r>
  </si>
  <si>
    <r>
      <rPr>
        <sz val="10"/>
        <rFont val="Arial"/>
        <family val="2"/>
      </rPr>
      <t>* et exerçant à</t>
    </r>
    <r>
      <rPr>
        <b/>
        <sz val="10"/>
        <rFont val="Arial"/>
        <family val="2"/>
        <charset val="1"/>
      </rPr>
      <t xml:space="preserve"> temps partiel </t>
    </r>
    <r>
      <rPr>
        <sz val="10"/>
        <rFont val="Arial"/>
        <family val="2"/>
      </rPr>
      <t>sous les</t>
    </r>
    <r>
      <rPr>
        <b/>
        <sz val="10"/>
        <rFont val="Arial"/>
        <family val="2"/>
        <charset val="1"/>
      </rPr>
      <t xml:space="preserve"> formes particulières </t>
    </r>
    <r>
      <rPr>
        <sz val="10"/>
        <rFont val="Arial"/>
        <family val="2"/>
      </rPr>
      <t>(*)</t>
    </r>
    <r>
      <rPr>
        <b/>
        <sz val="10"/>
        <rFont val="Arial"/>
        <family val="2"/>
        <charset val="1"/>
      </rPr>
      <t xml:space="preserve"> :</t>
    </r>
  </si>
  <si>
    <t>- du temps partiel de droit qui peut être accordé soit pour raison familiale (pour élever un enfant, donner des soins à son conjoint, à un enfant à charge ou à un ascendant atteint d'un handicap nécessitant la présence d'une tierce personne), soit à certaines personnes en situation de handicap (article 60 bis de la loi du 26 janvier 1984) ;</t>
  </si>
  <si>
    <r>
      <t xml:space="preserve">- du </t>
    </r>
    <r>
      <rPr>
        <b/>
        <i/>
        <sz val="10"/>
        <rFont val="Arial"/>
        <family val="2"/>
        <charset val="1"/>
      </rPr>
      <t>temps partiel sur autorisation</t>
    </r>
    <r>
      <rPr>
        <i/>
        <sz val="10"/>
        <rFont val="Arial"/>
        <family val="2"/>
        <charset val="1"/>
      </rPr>
      <t xml:space="preserve"> pour les fonctionnaires en activité ou en service détaché, qui peuvent, en application de l'article 60 de la loi du 26 janvier 1984 susvisée, être autorisés, sur leur demande et sous réserve des nécessités du service, à bénéficier d'un service à temps partiel qui ne peut être inférieur au mi-temps;</t>
    </r>
  </si>
  <si>
    <r>
      <rPr>
        <b/>
        <i/>
        <sz val="9"/>
        <color indexed="10"/>
        <rFont val="Arial"/>
        <family val="2"/>
      </rPr>
      <t xml:space="preserve">Remarque : </t>
    </r>
    <r>
      <rPr>
        <i/>
        <sz val="9"/>
        <rFont val="Arial"/>
        <family val="2"/>
      </rPr>
      <t xml:space="preserve">Tous les montants doivent être exprimés </t>
    </r>
    <r>
      <rPr>
        <b/>
        <i/>
        <sz val="9"/>
        <rFont val="Arial"/>
        <family val="2"/>
      </rPr>
      <t>en euros</t>
    </r>
    <r>
      <rPr>
        <i/>
        <sz val="9"/>
        <rFont val="Arial"/>
        <family val="2"/>
      </rPr>
      <t xml:space="preserve"> (arrondir à l'euro supérieur).</t>
    </r>
  </si>
  <si>
    <t xml:space="preserve">- Ne pas remplir les cellules grisées </t>
  </si>
  <si>
    <t>Départ en congé</t>
  </si>
  <si>
    <t>Retour de congé</t>
  </si>
  <si>
    <t>Auxiliaire de puériculture principal de 2ème classe stagiaire</t>
  </si>
  <si>
    <t>1.5.2 (2)</t>
  </si>
  <si>
    <t xml:space="preserve"> 1.5.2(5)</t>
  </si>
  <si>
    <t>1.5.2 (6)</t>
  </si>
  <si>
    <t>1.5.2(17)</t>
  </si>
  <si>
    <t>1.5.2(18)</t>
  </si>
  <si>
    <t>Pour accidents du travail</t>
  </si>
  <si>
    <t>Comment répartir les journées selon les organismes (intitulés de colonnes) ?</t>
  </si>
  <si>
    <t>OUI / NON</t>
  </si>
  <si>
    <t>Subventions versées au comité d'œuvres sociales local ou autres organismes propres à la collectivité</t>
  </si>
  <si>
    <t>Cotisations et subventions à un comité intercollectivités (ou à un autre organisme intercollectivités)</t>
  </si>
  <si>
    <t>CMR : les substances chimiques présentant un effet cancérogène, mutagène ou toxique pour la reproduction, qualifiées « CMR », englobent les substances qui, par inhalation, ingestion ou pénétration cutanée, peuvent soit produire le cancer ou en augmenter la fréquence, soit produire des altérations génétiques héréditaires ou en augmenter la fréquence, soit porter atteinte aux fonctions ou capacités reproductives ou produire ou augmenter la fréquence de faits indésirables non héréditaires sur la progéniture (l'article R. 4412-60 du code du travail définit les CMR).</t>
  </si>
  <si>
    <t xml:space="preserve">2.2.2 - Contraintes particulières concernant le temps de travail </t>
  </si>
  <si>
    <t>cycle2</t>
  </si>
  <si>
    <t>Horaires décalés</t>
  </si>
  <si>
    <t>Travail de nuit</t>
  </si>
  <si>
    <t>Travail le week-end</t>
  </si>
  <si>
    <t>2.2.3 - Compte épargne-temps</t>
  </si>
  <si>
    <t xml:space="preserve">2.2.3.1 Nombre d'agents ayant un compte épargne temps (CET) </t>
  </si>
  <si>
    <t>2.2.3.2 Nombre de jours accumulés</t>
  </si>
  <si>
    <t>Type conso</t>
  </si>
  <si>
    <t>2.2.4 - Télétravail</t>
  </si>
  <si>
    <t>Si oui, renseigner le tableau suivant :</t>
  </si>
  <si>
    <t xml:space="preserve">  - IND 5.1.4 - Coûts de formation</t>
  </si>
  <si>
    <t xml:space="preserve">  - IND 6.1.4 - Nombre de sanctions disciplinaires prononcées dans l'année</t>
  </si>
  <si>
    <t>7.1.1 - Œuvres sociales à destination du personnel ou de leurs familles</t>
  </si>
  <si>
    <t xml:space="preserve">  - IND 7.1.2 - Prestations servies directement par la collectivité territoriale</t>
  </si>
  <si>
    <t xml:space="preserve">  - IND 7.1.4 - Protection sociale complémentaire</t>
  </si>
  <si>
    <t>Cliquez dans la colonne "onglet" pour accéder directement à l'onglet désiré.</t>
  </si>
  <si>
    <t>accident</t>
  </si>
  <si>
    <t>Type de contrats</t>
  </si>
  <si>
    <t>Agents en CDD</t>
  </si>
  <si>
    <t>Agents en CDI</t>
  </si>
  <si>
    <t xml:space="preserve">Autres contractuels (articles 38, 38bis, 47,136...)  </t>
  </si>
  <si>
    <t>Veuillez préciser (en cochant les cases concernées avec x) :</t>
  </si>
  <si>
    <r>
      <t>Le contrôle administratif</t>
    </r>
    <r>
      <rPr>
        <i/>
        <sz val="10"/>
        <rFont val="Arial"/>
        <family val="2"/>
      </rPr>
      <t xml:space="preserve"> porte sur le respect des règles de transmission des arrêts de maladie ainsi que sur le respect des autorisations de cumul d’activités de l’agent.</t>
    </r>
  </si>
  <si>
    <t>Le contrôle administratif porte sur le respect des règles de transmission des arrêts de maladie ainsi que sur le respect des autorisations de cumul d’activités de l’agent.</t>
  </si>
  <si>
    <t>SCG2</t>
  </si>
  <si>
    <t xml:space="preserve">Assistant de conservation </t>
  </si>
  <si>
    <t>TCG1</t>
  </si>
  <si>
    <t>Assistant de conservation stagiaire</t>
  </si>
  <si>
    <t>SCG1</t>
  </si>
  <si>
    <t>ASSISTANTS DE CONSERVATION DU PATRIMOINE ET DES BIBLIOTHEQUES</t>
  </si>
  <si>
    <t>CG</t>
  </si>
  <si>
    <t xml:space="preserve">                                                                                                                                            </t>
  </si>
  <si>
    <t xml:space="preserve">Exemples de calcul par le nombre d'heures payées (y compris congés, absences, ...) </t>
  </si>
  <si>
    <t>Avez adhéré au régime d'assurance chômage</t>
  </si>
  <si>
    <r>
      <rPr>
        <sz val="10"/>
        <rFont val="Arial"/>
        <family val="2"/>
      </rPr>
      <t xml:space="preserve">* les </t>
    </r>
    <r>
      <rPr>
        <b/>
        <sz val="10"/>
        <rFont val="Arial"/>
        <family val="2"/>
        <charset val="1"/>
      </rPr>
      <t>fonctionnaires titulaires</t>
    </r>
    <r>
      <rPr>
        <sz val="10"/>
        <rFont val="Arial"/>
        <family val="2"/>
      </rPr>
      <t xml:space="preserve"> occupant un </t>
    </r>
    <r>
      <rPr>
        <b/>
        <sz val="10"/>
        <rFont val="Arial"/>
        <family val="2"/>
        <charset val="1"/>
      </rPr>
      <t>emploi fonctionnel</t>
    </r>
    <r>
      <rPr>
        <sz val="10"/>
        <rFont val="Arial"/>
        <family val="2"/>
      </rPr>
      <t xml:space="preserve"> en application de l'art 53 de la loi du 26 janvier 1984 dont ceux appartenant aux cadres d'emploi d'administrateur, d'attaché ou d'ingénieur</t>
    </r>
  </si>
  <si>
    <r>
      <rPr>
        <sz val="10"/>
        <rFont val="Arial"/>
        <family val="2"/>
      </rPr>
      <t xml:space="preserve">* les </t>
    </r>
    <r>
      <rPr>
        <b/>
        <sz val="10"/>
        <rFont val="Arial"/>
        <family val="2"/>
        <charset val="1"/>
      </rPr>
      <t>contractuels</t>
    </r>
    <r>
      <rPr>
        <sz val="10"/>
        <rFont val="Arial"/>
        <family val="2"/>
      </rPr>
      <t xml:space="preserve"> recrutés sur un </t>
    </r>
    <r>
      <rPr>
        <b/>
        <sz val="10"/>
        <rFont val="Arial"/>
        <family val="2"/>
        <charset val="1"/>
      </rPr>
      <t xml:space="preserve">emploi fonctionnel </t>
    </r>
    <r>
      <rPr>
        <sz val="10"/>
        <rFont val="Arial"/>
        <family val="2"/>
      </rPr>
      <t>en application de l'art 47 de la loi du 26 janvier 1984</t>
    </r>
  </si>
  <si>
    <r>
      <t xml:space="preserve">Attention : </t>
    </r>
    <r>
      <rPr>
        <b/>
        <sz val="10"/>
        <rFont val="Arial"/>
        <family val="2"/>
      </rPr>
      <t xml:space="preserve">ne pas comptabiliser </t>
    </r>
    <r>
      <rPr>
        <sz val="10"/>
        <rFont val="Arial"/>
        <family val="2"/>
      </rPr>
      <t>ici les</t>
    </r>
    <r>
      <rPr>
        <b/>
        <sz val="10"/>
        <rFont val="Arial"/>
        <family val="2"/>
      </rPr>
      <t xml:space="preserve"> secrétaires de mairie </t>
    </r>
    <r>
      <rPr>
        <sz val="10"/>
        <rFont val="Arial"/>
        <family val="2"/>
      </rPr>
      <t>et les</t>
    </r>
    <r>
      <rPr>
        <b/>
        <sz val="10"/>
        <rFont val="Arial"/>
        <family val="2"/>
      </rPr>
      <t xml:space="preserve"> secrétaires généraux.</t>
    </r>
  </si>
  <si>
    <r>
      <rPr>
        <sz val="10"/>
        <rFont val="Arial"/>
        <family val="2"/>
      </rPr>
      <t>* par</t>
    </r>
    <r>
      <rPr>
        <b/>
        <sz val="10"/>
        <rFont val="Arial"/>
        <family val="2"/>
        <charset val="1"/>
      </rPr>
      <t xml:space="preserve"> types d'emploi</t>
    </r>
    <r>
      <rPr>
        <sz val="10"/>
        <rFont val="Arial"/>
        <family val="2"/>
      </rPr>
      <t xml:space="preserve">  ou changement de filière pour les fonctionnaires détachés au sein de leur propre collectivité</t>
    </r>
    <r>
      <rPr>
        <b/>
        <sz val="10"/>
        <rFont val="Arial"/>
        <family val="2"/>
        <charset val="1"/>
      </rPr>
      <t xml:space="preserve"> </t>
    </r>
    <r>
      <rPr>
        <sz val="10"/>
        <rFont val="Arial"/>
        <family val="2"/>
      </rPr>
      <t>(en lignes)</t>
    </r>
  </si>
  <si>
    <r>
      <rPr>
        <sz val="10"/>
        <rFont val="Arial"/>
        <family val="2"/>
      </rPr>
      <t xml:space="preserve">* les agents </t>
    </r>
    <r>
      <rPr>
        <b/>
        <sz val="10"/>
        <rFont val="Arial"/>
        <family val="2"/>
        <charset val="1"/>
      </rPr>
      <t>mis à disposition dans une autre structure</t>
    </r>
    <r>
      <rPr>
        <sz val="10"/>
        <rFont val="Arial"/>
        <family val="2"/>
      </rPr>
      <t xml:space="preserve"> sont également recensés</t>
    </r>
    <r>
      <rPr>
        <b/>
        <sz val="10"/>
        <rFont val="Arial"/>
        <family val="2"/>
        <charset val="1"/>
      </rPr>
      <t xml:space="preserve"> </t>
    </r>
    <r>
      <rPr>
        <sz val="10"/>
        <rFont val="Arial"/>
        <family val="2"/>
      </rPr>
      <t>(en lignes)</t>
    </r>
  </si>
  <si>
    <r>
      <rPr>
        <sz val="10"/>
        <rFont val="Arial"/>
        <family val="2"/>
      </rPr>
      <t>* et selon le</t>
    </r>
    <r>
      <rPr>
        <b/>
        <sz val="10"/>
        <rFont val="Arial"/>
        <family val="2"/>
        <charset val="1"/>
      </rPr>
      <t xml:space="preserve"> sexe </t>
    </r>
    <r>
      <rPr>
        <sz val="10"/>
        <rFont val="Arial"/>
        <family val="2"/>
      </rPr>
      <t>(en colonnes)</t>
    </r>
  </si>
  <si>
    <r>
      <t>Indicateur 1.4.2</t>
    </r>
    <r>
      <rPr>
        <sz val="10"/>
        <rFont val="Arial"/>
        <family val="2"/>
      </rPr>
      <t xml:space="preserve"> : agents </t>
    </r>
    <r>
      <rPr>
        <b/>
        <sz val="10"/>
        <rFont val="Arial"/>
        <family val="2"/>
        <charset val="1"/>
      </rPr>
      <t>détachés dans la collectivité</t>
    </r>
    <r>
      <rPr>
        <sz val="10"/>
        <rFont val="Arial"/>
        <family val="2"/>
      </rPr>
      <t xml:space="preserve"> et originaires d’une autre structure</t>
    </r>
  </si>
  <si>
    <r>
      <t>Remarque :</t>
    </r>
    <r>
      <rPr>
        <b/>
        <i/>
        <sz val="10"/>
        <rFont val="Arial"/>
        <family val="2"/>
      </rPr>
      <t xml:space="preserve"> </t>
    </r>
    <r>
      <rPr>
        <i/>
        <sz val="10"/>
        <rFont val="Arial"/>
        <family val="2"/>
      </rPr>
      <t xml:space="preserve">cet indicateur concerne </t>
    </r>
    <r>
      <rPr>
        <i/>
        <u/>
        <sz val="10"/>
        <rFont val="Arial"/>
        <family val="2"/>
      </rPr>
      <t>uniquement les fonctionnaires</t>
    </r>
  </si>
  <si>
    <r>
      <rPr>
        <sz val="10"/>
        <rFont val="Arial"/>
        <family val="2"/>
      </rPr>
      <t xml:space="preserve">* par </t>
    </r>
    <r>
      <rPr>
        <b/>
        <sz val="10"/>
        <rFont val="Arial"/>
        <family val="2"/>
        <charset val="1"/>
      </rPr>
      <t xml:space="preserve">structures d'origine </t>
    </r>
    <r>
      <rPr>
        <sz val="10"/>
        <rFont val="Arial"/>
        <family val="2"/>
      </rPr>
      <t>(en lignes)</t>
    </r>
  </si>
  <si>
    <r>
      <rPr>
        <sz val="10"/>
        <rFont val="Arial"/>
        <family val="2"/>
      </rPr>
      <t>* et selon le</t>
    </r>
    <r>
      <rPr>
        <b/>
        <sz val="10"/>
        <rFont val="Arial"/>
        <family val="2"/>
        <charset val="1"/>
      </rPr>
      <t xml:space="preserve"> type d'emploi </t>
    </r>
    <r>
      <rPr>
        <sz val="10"/>
        <rFont val="Arial"/>
        <family val="2"/>
      </rPr>
      <t>croisé par le</t>
    </r>
    <r>
      <rPr>
        <b/>
        <sz val="10"/>
        <rFont val="Arial"/>
        <family val="2"/>
        <charset val="1"/>
      </rPr>
      <t xml:space="preserve"> sexe </t>
    </r>
    <r>
      <rPr>
        <sz val="10"/>
        <rFont val="Arial"/>
        <family val="2"/>
      </rPr>
      <t>(en colonnes)</t>
    </r>
  </si>
  <si>
    <r>
      <t>Indicateur 1.4.3</t>
    </r>
    <r>
      <rPr>
        <sz val="10"/>
        <rFont val="Arial"/>
        <family val="2"/>
      </rPr>
      <t xml:space="preserve"> : recensement des agents </t>
    </r>
    <r>
      <rPr>
        <b/>
        <sz val="10"/>
        <rFont val="Arial"/>
        <family val="2"/>
        <charset val="1"/>
      </rPr>
      <t>mis à disposition de votre collectivité</t>
    </r>
    <r>
      <rPr>
        <sz val="10"/>
        <rFont val="Arial"/>
        <family val="2"/>
      </rPr>
      <t xml:space="preserve"> et originaires d’une autre structure selon le </t>
    </r>
    <r>
      <rPr>
        <b/>
        <sz val="10"/>
        <rFont val="Arial"/>
        <family val="2"/>
        <charset val="1"/>
      </rPr>
      <t>statut</t>
    </r>
    <r>
      <rPr>
        <sz val="10"/>
        <rFont val="Arial"/>
        <family val="2"/>
      </rPr>
      <t xml:space="preserve"> et le </t>
    </r>
    <r>
      <rPr>
        <b/>
        <sz val="10"/>
        <rFont val="Arial"/>
        <family val="2"/>
        <charset val="1"/>
      </rPr>
      <t>sexe</t>
    </r>
  </si>
  <si>
    <r>
      <t>Indicateur 1.4.4</t>
    </r>
    <r>
      <rPr>
        <sz val="10"/>
        <rFont val="Arial"/>
        <family val="2"/>
      </rPr>
      <t xml:space="preserve"> :</t>
    </r>
    <r>
      <rPr>
        <b/>
        <sz val="10"/>
        <rFont val="Arial"/>
        <family val="2"/>
        <charset val="1"/>
      </rPr>
      <t xml:space="preserve"> fonctionnaires</t>
    </r>
    <r>
      <rPr>
        <sz val="10"/>
        <rFont val="Arial"/>
        <family val="2"/>
      </rPr>
      <t xml:space="preserve"> pris en charge par le </t>
    </r>
    <r>
      <rPr>
        <b/>
        <sz val="10"/>
        <rFont val="Arial"/>
        <family val="2"/>
        <charset val="1"/>
      </rPr>
      <t xml:space="preserve">CNFPT </t>
    </r>
    <r>
      <rPr>
        <sz val="10"/>
        <rFont val="Arial"/>
        <family val="2"/>
      </rPr>
      <t xml:space="preserve">ou un </t>
    </r>
    <r>
      <rPr>
        <b/>
        <sz val="10"/>
        <rFont val="Arial"/>
        <family val="2"/>
        <charset val="1"/>
      </rPr>
      <t>CDG</t>
    </r>
  </si>
  <si>
    <r>
      <t xml:space="preserve">Remarque : </t>
    </r>
    <r>
      <rPr>
        <i/>
        <sz val="10"/>
        <rFont val="Arial"/>
        <family val="2"/>
      </rPr>
      <t xml:space="preserve">seuls </t>
    </r>
    <r>
      <rPr>
        <i/>
        <u/>
        <sz val="10"/>
        <rFont val="Arial"/>
        <family val="2"/>
      </rPr>
      <t>le CNFPT et les CDG</t>
    </r>
    <r>
      <rPr>
        <i/>
        <sz val="10"/>
        <rFont val="Arial"/>
        <family val="2"/>
      </rPr>
      <t xml:space="preserve"> doivent renseigner cet indicateur</t>
    </r>
  </si>
  <si>
    <r>
      <rPr>
        <sz val="10"/>
        <rFont val="Arial"/>
        <family val="2"/>
      </rPr>
      <t>* par</t>
    </r>
    <r>
      <rPr>
        <b/>
        <sz val="10"/>
        <rFont val="Arial"/>
        <family val="2"/>
        <charset val="1"/>
      </rPr>
      <t xml:space="preserve"> ancienneté </t>
    </r>
    <r>
      <rPr>
        <sz val="10"/>
        <rFont val="Arial"/>
        <family val="2"/>
      </rPr>
      <t>(en lignes)</t>
    </r>
  </si>
  <si>
    <r>
      <rPr>
        <sz val="10"/>
        <rFont val="Arial"/>
        <family val="2"/>
      </rPr>
      <t>Les indicateurs 1.5.4 à 1.5.7 recensent les effectifs en nombre de personnes physiques</t>
    </r>
    <r>
      <rPr>
        <b/>
        <sz val="10"/>
        <rFont val="Arial"/>
        <family val="2"/>
        <charset val="1"/>
      </rPr>
      <t xml:space="preserve"> (1 personne = 1 unité).</t>
    </r>
  </si>
  <si>
    <t>Quels sont les agents à recenser à l’indicateur 1.5.4 ?</t>
  </si>
  <si>
    <r>
      <t xml:space="preserve">- de </t>
    </r>
    <r>
      <rPr>
        <b/>
        <sz val="10"/>
        <rFont val="Arial"/>
        <family val="2"/>
        <charset val="1"/>
      </rPr>
      <t>titularisation</t>
    </r>
    <r>
      <rPr>
        <sz val="10"/>
        <rFont val="Arial"/>
        <family val="2"/>
      </rPr>
      <t>,</t>
    </r>
  </si>
  <si>
    <r>
      <t xml:space="preserve">- de </t>
    </r>
    <r>
      <rPr>
        <b/>
        <sz val="10"/>
        <rFont val="Arial"/>
        <family val="2"/>
        <charset val="1"/>
      </rPr>
      <t>prolongation exceptionnelle de stage</t>
    </r>
    <r>
      <rPr>
        <sz val="10"/>
        <rFont val="Arial"/>
        <family val="2"/>
      </rPr>
      <t>,</t>
    </r>
  </si>
  <si>
    <r>
      <t>- de</t>
    </r>
    <r>
      <rPr>
        <b/>
        <sz val="10"/>
        <rFont val="Arial"/>
        <family val="2"/>
        <charset val="1"/>
      </rPr>
      <t xml:space="preserve"> refus de titularisation</t>
    </r>
    <r>
      <rPr>
        <sz val="10"/>
        <rFont val="Arial"/>
        <family val="2"/>
      </rPr>
      <t>.</t>
    </r>
  </si>
  <si>
    <r>
      <t xml:space="preserve">- </t>
    </r>
    <r>
      <rPr>
        <sz val="10"/>
        <rFont val="Arial"/>
        <family val="2"/>
      </rPr>
      <t xml:space="preserve">de </t>
    </r>
    <r>
      <rPr>
        <b/>
        <sz val="10"/>
        <rFont val="Arial"/>
        <family val="2"/>
        <charset val="1"/>
      </rPr>
      <t>titularisation</t>
    </r>
    <r>
      <rPr>
        <sz val="10"/>
        <rFont val="Arial"/>
        <family val="2"/>
      </rPr>
      <t xml:space="preserve"> en application de l'article 38 de la loi du 26 janvier 1984 (travailleurs en </t>
    </r>
    <r>
      <rPr>
        <b/>
        <sz val="10"/>
        <rFont val="Arial"/>
        <family val="2"/>
        <charset val="1"/>
      </rPr>
      <t>situation de handicap</t>
    </r>
    <r>
      <rPr>
        <sz val="10"/>
        <rFont val="Arial"/>
        <family val="2"/>
      </rPr>
      <t>),</t>
    </r>
  </si>
  <si>
    <r>
      <t xml:space="preserve">- </t>
    </r>
    <r>
      <rPr>
        <sz val="10"/>
        <rFont val="Arial"/>
        <family val="2"/>
      </rPr>
      <t xml:space="preserve">de </t>
    </r>
    <r>
      <rPr>
        <b/>
        <sz val="10"/>
        <rFont val="Arial"/>
        <family val="2"/>
        <charset val="1"/>
      </rPr>
      <t>nomination stagiaire</t>
    </r>
    <r>
      <rPr>
        <sz val="10"/>
        <rFont val="Arial"/>
        <family val="2"/>
      </rPr>
      <t>.</t>
    </r>
  </si>
  <si>
    <r>
      <rPr>
        <sz val="10"/>
        <rFont val="Arial"/>
        <family val="2"/>
      </rPr>
      <t xml:space="preserve">* par </t>
    </r>
    <r>
      <rPr>
        <b/>
        <sz val="10"/>
        <rFont val="Arial"/>
        <family val="2"/>
        <charset val="1"/>
      </rPr>
      <t>statut initial</t>
    </r>
    <r>
      <rPr>
        <sz val="10"/>
        <rFont val="Arial"/>
        <family val="2"/>
      </rPr>
      <t xml:space="preserve">, en fonction des </t>
    </r>
    <r>
      <rPr>
        <b/>
        <sz val="10"/>
        <rFont val="Arial"/>
        <family val="2"/>
        <charset val="1"/>
      </rPr>
      <t>objets de décisions</t>
    </r>
    <r>
      <rPr>
        <sz val="10"/>
        <rFont val="Arial"/>
        <family val="2"/>
      </rPr>
      <t xml:space="preserve"> (déclinés ci-dessus ; en lignes)</t>
    </r>
  </si>
  <si>
    <r>
      <rPr>
        <sz val="10"/>
        <rFont val="Arial"/>
        <family val="2"/>
      </rPr>
      <t xml:space="preserve">* et selon le </t>
    </r>
    <r>
      <rPr>
        <b/>
        <sz val="10"/>
        <rFont val="Arial"/>
        <family val="2"/>
        <charset val="1"/>
      </rPr>
      <t>sexe</t>
    </r>
    <r>
      <rPr>
        <sz val="10"/>
        <rFont val="Arial"/>
        <family val="2"/>
      </rPr>
      <t xml:space="preserve"> (en colonnes)</t>
    </r>
  </si>
  <si>
    <t>Quels sont les agents à recenser à l’indicateur 1.5.5  ?</t>
  </si>
  <si>
    <t>- de grade</t>
  </si>
  <si>
    <t>- ou d’échelon</t>
  </si>
  <si>
    <r>
      <t xml:space="preserve">* par </t>
    </r>
    <r>
      <rPr>
        <b/>
        <sz val="10"/>
        <rFont val="Arial"/>
        <family val="2"/>
        <charset val="1"/>
      </rPr>
      <t xml:space="preserve">type d'avancement </t>
    </r>
    <r>
      <rPr>
        <sz val="10"/>
        <rFont val="Arial"/>
        <family val="2"/>
      </rPr>
      <t xml:space="preserve">(échelon ou grade), </t>
    </r>
    <r>
      <rPr>
        <b/>
        <sz val="10"/>
        <rFont val="Arial"/>
        <family val="2"/>
        <charset val="1"/>
      </rPr>
      <t>selon les modalités</t>
    </r>
    <r>
      <rPr>
        <sz val="10"/>
        <rFont val="Arial"/>
        <family val="2"/>
      </rPr>
      <t xml:space="preserve"> de l'avancement pour les </t>
    </r>
    <r>
      <rPr>
        <b/>
        <sz val="10"/>
        <rFont val="Arial"/>
        <family val="2"/>
        <charset val="1"/>
      </rPr>
      <t>grades</t>
    </r>
    <r>
      <rPr>
        <sz val="10"/>
        <rFont val="Arial"/>
        <family val="2"/>
      </rPr>
      <t xml:space="preserve"> (en lignes)</t>
    </r>
  </si>
  <si>
    <t>Quels sont les agents à recenser à l’indicateur 1.5.6  ?</t>
  </si>
  <si>
    <r>
      <rPr>
        <sz val="10"/>
        <rFont val="Arial"/>
        <family val="2"/>
      </rPr>
      <t xml:space="preserve">* par </t>
    </r>
    <r>
      <rPr>
        <b/>
        <sz val="10"/>
        <rFont val="Arial"/>
        <family val="2"/>
        <charset val="1"/>
      </rPr>
      <t>filière</t>
    </r>
    <r>
      <rPr>
        <sz val="10"/>
        <rFont val="Arial"/>
        <family val="2"/>
      </rPr>
      <t xml:space="preserve"> (en lignes)</t>
    </r>
  </si>
  <si>
    <r>
      <t xml:space="preserve">* et selon la </t>
    </r>
    <r>
      <rPr>
        <b/>
        <sz val="10"/>
        <rFont val="Arial"/>
        <family val="2"/>
        <charset val="1"/>
      </rPr>
      <t>catégorie</t>
    </r>
    <r>
      <rPr>
        <sz val="10"/>
        <rFont val="Arial"/>
        <family val="2"/>
      </rPr>
      <t xml:space="preserve"> et le </t>
    </r>
    <r>
      <rPr>
        <b/>
        <sz val="10"/>
        <rFont val="Arial"/>
        <family val="2"/>
        <charset val="1"/>
      </rPr>
      <t>sexe</t>
    </r>
    <r>
      <rPr>
        <sz val="10"/>
        <rFont val="Arial"/>
        <family val="2"/>
      </rPr>
      <t xml:space="preserve"> (en colonnes)</t>
    </r>
  </si>
  <si>
    <t>Quels sont les agents à recenser à l’indicateur 1.5.7  ?</t>
  </si>
  <si>
    <r>
      <rPr>
        <sz val="10"/>
        <rFont val="Arial"/>
        <family val="2"/>
      </rPr>
      <t xml:space="preserve">*  les </t>
    </r>
    <r>
      <rPr>
        <b/>
        <sz val="10"/>
        <rFont val="Arial"/>
        <family val="2"/>
        <charset val="1"/>
      </rPr>
      <t>fonctionnaires</t>
    </r>
    <r>
      <rPr>
        <sz val="10"/>
        <rFont val="Arial"/>
        <family val="2"/>
      </rPr>
      <t xml:space="preserve"> </t>
    </r>
  </si>
  <si>
    <r>
      <rPr>
        <sz val="10"/>
        <rFont val="Arial"/>
        <family val="2"/>
      </rPr>
      <t>*  et les</t>
    </r>
    <r>
      <rPr>
        <b/>
        <sz val="10"/>
        <rFont val="Arial"/>
        <family val="2"/>
        <charset val="1"/>
      </rPr>
      <t xml:space="preserve"> contractuels sur emploi permanent </t>
    </r>
  </si>
  <si>
    <r>
      <rPr>
        <sz val="10"/>
        <rFont val="Arial"/>
        <family val="2"/>
      </rPr>
      <t xml:space="preserve">* selon la </t>
    </r>
    <r>
      <rPr>
        <b/>
        <sz val="10"/>
        <rFont val="Arial"/>
        <family val="2"/>
        <charset val="1"/>
      </rPr>
      <t>catégorie</t>
    </r>
    <r>
      <rPr>
        <sz val="10"/>
        <rFont val="Arial"/>
        <family val="2"/>
      </rPr>
      <t xml:space="preserve"> (en lignes)</t>
    </r>
  </si>
  <si>
    <r>
      <rPr>
        <sz val="10"/>
        <rFont val="Arial"/>
        <family val="2"/>
      </rPr>
      <t xml:space="preserve">* et le </t>
    </r>
    <r>
      <rPr>
        <b/>
        <sz val="10"/>
        <rFont val="Arial"/>
        <family val="2"/>
        <charset val="1"/>
      </rPr>
      <t>sexe</t>
    </r>
    <r>
      <rPr>
        <sz val="10"/>
        <rFont val="Arial"/>
        <family val="2"/>
      </rPr>
      <t xml:space="preserve"> (en colonnes)</t>
    </r>
  </si>
  <si>
    <t>sexe/avancement</t>
  </si>
  <si>
    <r>
      <t xml:space="preserve">- </t>
    </r>
    <r>
      <rPr>
        <u/>
        <sz val="10"/>
        <rFont val="Arial"/>
        <family val="2"/>
      </rPr>
      <t>colonne 1.2.1(1)</t>
    </r>
    <r>
      <rPr>
        <sz val="10"/>
        <rFont val="Arial"/>
        <family val="2"/>
      </rPr>
      <t xml:space="preserve"> : </t>
    </r>
    <r>
      <rPr>
        <b/>
        <sz val="10"/>
        <rFont val="Arial"/>
        <family val="2"/>
        <charset val="1"/>
      </rPr>
      <t>article 3-1 modifié par la loi n° 2019-828 du 6 août 2019</t>
    </r>
    <r>
      <rPr>
        <sz val="10"/>
        <rFont val="Arial"/>
        <family val="2"/>
      </rPr>
      <t xml:space="preserve"> : pour assurer le</t>
    </r>
    <r>
      <rPr>
        <b/>
        <sz val="10"/>
        <rFont val="Arial"/>
        <family val="2"/>
        <charset val="1"/>
      </rPr>
      <t xml:space="preserve"> remplacement temporaire</t>
    </r>
    <r>
      <rPr>
        <sz val="10"/>
        <rFont val="Arial"/>
        <family val="2"/>
      </rPr>
      <t xml:space="preserve"> de fonctionnaires ou d'agents contractuels autorisés à exercer leurs fonctions à temps partiel ou indisponibles en raison d'un détachement de courte durée, d'une disponibilité de courte durée prononcée d'office, de droit ou sur demande pour raisons familiales, d'un détachement pour l'accomplissement d'un stage ou d'une période de scolarité préalable à la titularisation dans un corps ou un cadre d'emplois de fonctionnaires ou pour suivre un cycle de préparation à un concours donnant accès à un corps ou un cadre d'emplois, d'un congé régulièrement octroyé en application de l'article 21 bis de la loi n° 83-634 du 13 juillet 1983, des articles 57, 60 sexies et 75 de la loi du 26 janvier 1984 [...].</t>
    </r>
  </si>
  <si>
    <r>
      <t xml:space="preserve">- </t>
    </r>
    <r>
      <rPr>
        <b/>
        <sz val="10"/>
        <color indexed="8"/>
        <rFont val="Arial"/>
        <family val="2"/>
      </rPr>
      <t xml:space="preserve">autres </t>
    </r>
    <r>
      <rPr>
        <sz val="10"/>
        <color indexed="8"/>
        <rFont val="Arial"/>
        <family val="2"/>
      </rPr>
      <t>(révocation, abandon de poste, perte de la nationalité française, etc.)</t>
    </r>
  </si>
  <si>
    <r>
      <t>- tableau 2 :</t>
    </r>
    <r>
      <rPr>
        <b/>
        <sz val="10"/>
        <rFont val="Arial"/>
        <family val="2"/>
        <charset val="1"/>
      </rPr>
      <t xml:space="preserve"> emploi NON permanent</t>
    </r>
    <r>
      <rPr>
        <sz val="10"/>
        <rFont val="Arial"/>
        <family val="2"/>
      </rPr>
      <t xml:space="preserve"> (ne concerne que les contractuels)</t>
    </r>
  </si>
  <si>
    <r>
      <t>Auto-assurance</t>
    </r>
    <r>
      <rPr>
        <sz val="10"/>
        <rFont val="Arial"/>
        <family val="2"/>
      </rPr>
      <t xml:space="preserve"> : la collectivité peut également choisir d'assurer elle-même la gestion administrative de l'allocation et son versement au bénéficiaire. Ce système est obligatoire pour les fonctionnaires, il peut être étendu aux contractuels. Dans le cadre de l'auto-assurance, la collectivité peut passer une convention de gestion avec Pôle emploi pour la gestion des dossiers et le versement des allocations. La collectivité paie des frais de gestion et rembourse à Pôle Emploi le montant de l'allocation chômage versée aux bénéficiaires (la charge financière de l'allocation incombe donc à la collectivité comme lorsqu'elle verse directement les allocations).</t>
    </r>
  </si>
  <si>
    <t>Il s'agit d'aides à la garde d'enfants permettant d'apprécier la politique sociale de la collectivité notamment au regard de la conciliation entre la vie privée et la vie professionnelle (cf. socle commun d'indicateurs "égalité professionnelle" définis dans le protocole du 8 mars 2013 relatif à l'égalité profesionnelle entre les femmes et les hommes dans la fonction publique).
Répondre uniquement par oui (1) si le dispositif existe et par non (0) dans le cas contraire.</t>
  </si>
  <si>
    <t>7.1.2 - Prestations servies directement ou via un Comité d'Œuvres Sociales par la collectivité territoriale</t>
  </si>
  <si>
    <t>Fiche 1.1.3 - Nombre de fonctionnaires bénéficiaires d'un temps partiel de droit ou sur autorisation par catégorie et sexe</t>
  </si>
  <si>
    <r>
      <t xml:space="preserve">  - IND 1.1.3 - Nombre de fonctionnaires bénéficiaires d'un temps partiel de droit ou sur autorisation </t>
    </r>
    <r>
      <rPr>
        <sz val="10"/>
        <rFont val="Arial"/>
        <family val="2"/>
      </rPr>
      <t>par catégorie et sexe</t>
    </r>
  </si>
  <si>
    <r>
      <t xml:space="preserve">- </t>
    </r>
    <r>
      <rPr>
        <b/>
        <sz val="10"/>
        <color indexed="8"/>
        <rFont val="Arial"/>
        <family val="2"/>
      </rPr>
      <t>congé formation</t>
    </r>
    <r>
      <rPr>
        <sz val="10"/>
        <color indexed="8"/>
        <rFont val="Arial"/>
        <family val="2"/>
      </rPr>
      <t xml:space="preserve">  (article 57 - 6° de la loi du 26 janvier 1984), subdivisé en "moins d'un an" et "au-delà d'un an"</t>
    </r>
    <r>
      <rPr>
        <i/>
        <sz val="10"/>
        <color indexed="8"/>
        <rFont val="Arial"/>
        <family val="2"/>
      </rPr>
      <t xml:space="preserve"> (</t>
    </r>
    <r>
      <rPr>
        <b/>
        <i/>
        <sz val="10"/>
        <color indexed="8"/>
        <rFont val="Arial"/>
        <family val="2"/>
      </rPr>
      <t>Remarque</t>
    </r>
    <r>
      <rPr>
        <i/>
        <sz val="10"/>
        <color indexed="8"/>
        <rFont val="Arial"/>
        <family val="2"/>
      </rPr>
      <t xml:space="preserve"> : ne pas comptabiliser les agents en décharge d’activité de courte durée pour leur permettre de suivre un stage de formation)</t>
    </r>
  </si>
  <si>
    <r>
      <t xml:space="preserve">- </t>
    </r>
    <r>
      <rPr>
        <b/>
        <sz val="10"/>
        <color indexed="8"/>
        <rFont val="Arial"/>
        <family val="2"/>
      </rPr>
      <t>congé parental</t>
    </r>
    <r>
      <rPr>
        <sz val="10"/>
        <color indexed="8"/>
        <rFont val="Arial"/>
        <family val="2"/>
      </rPr>
      <t xml:space="preserve"> (article 75 de la loi du 26 janvier 1984 pour les fonctionnaires - article 14 du décret n° 88-145 du 15 février 1988 pour les contractuels) </t>
    </r>
  </si>
  <si>
    <r>
      <t xml:space="preserve">- </t>
    </r>
    <r>
      <rPr>
        <b/>
        <sz val="10"/>
        <color indexed="8"/>
        <rFont val="Arial"/>
        <family val="2"/>
      </rPr>
      <t>démission</t>
    </r>
    <r>
      <rPr>
        <sz val="10"/>
        <color indexed="8"/>
        <rFont val="Arial"/>
        <family val="2"/>
      </rPr>
      <t xml:space="preserve"> (article 96 de la loi du 26 janvier 1984) </t>
    </r>
  </si>
  <si>
    <r>
      <t xml:space="preserve">- départ à la </t>
    </r>
    <r>
      <rPr>
        <b/>
        <sz val="10"/>
        <color indexed="8"/>
        <rFont val="Arial"/>
        <family val="2"/>
      </rPr>
      <t xml:space="preserve">retraite </t>
    </r>
  </si>
  <si>
    <r>
      <t>-</t>
    </r>
    <r>
      <rPr>
        <b/>
        <sz val="10"/>
        <color indexed="8"/>
        <rFont val="Arial"/>
        <family val="2"/>
      </rPr>
      <t xml:space="preserve"> licenciement</t>
    </r>
    <r>
      <rPr>
        <sz val="10"/>
        <color indexed="8"/>
        <rFont val="Arial"/>
        <family val="2"/>
      </rPr>
      <t xml:space="preserve"> </t>
    </r>
  </si>
  <si>
    <r>
      <t xml:space="preserve">- </t>
    </r>
    <r>
      <rPr>
        <b/>
        <sz val="10"/>
        <color indexed="8"/>
        <rFont val="Arial"/>
        <family val="2"/>
      </rPr>
      <t>décès</t>
    </r>
    <r>
      <rPr>
        <sz val="10"/>
        <color indexed="8"/>
        <rFont val="Arial"/>
        <family val="2"/>
      </rPr>
      <t xml:space="preserve"> </t>
    </r>
  </si>
  <si>
    <r>
      <t xml:space="preserve">- </t>
    </r>
    <r>
      <rPr>
        <b/>
        <sz val="10"/>
        <color indexed="8"/>
        <rFont val="Arial"/>
        <family val="2"/>
      </rPr>
      <t>transfert de compétence</t>
    </r>
    <r>
      <rPr>
        <sz val="10"/>
        <color indexed="8"/>
        <rFont val="Arial"/>
        <family val="2"/>
      </rPr>
      <t xml:space="preserve"> </t>
    </r>
  </si>
  <si>
    <r>
      <t>motifs concernant uniquement les fonctionnaires</t>
    </r>
    <r>
      <rPr>
        <sz val="10"/>
        <color indexed="8"/>
        <rFont val="Arial"/>
        <family val="2"/>
      </rPr>
      <t xml:space="preserve"> (tableau 1.5.0.1)  :</t>
    </r>
  </si>
  <si>
    <r>
      <t xml:space="preserve">- </t>
    </r>
    <r>
      <rPr>
        <b/>
        <sz val="10"/>
        <color indexed="8"/>
        <rFont val="Arial"/>
        <family val="2"/>
      </rPr>
      <t>décharge totale d’activité</t>
    </r>
    <r>
      <rPr>
        <sz val="10"/>
        <color indexed="8"/>
        <rFont val="Arial"/>
        <family val="2"/>
      </rPr>
      <t xml:space="preserve"> de service pour exercice d’un </t>
    </r>
    <r>
      <rPr>
        <b/>
        <sz val="10"/>
        <color indexed="8"/>
        <rFont val="Arial"/>
        <family val="2"/>
      </rPr>
      <t>mandat syndical</t>
    </r>
    <r>
      <rPr>
        <sz val="10"/>
        <color indexed="8"/>
        <rFont val="Arial"/>
        <family val="2"/>
      </rPr>
      <t xml:space="preserve"> (article 100-1 de la loi du 26 janvier 1984) </t>
    </r>
  </si>
  <si>
    <t>Dépenses correspondant aux mesures prises dans l'année pour l'amélioration des conditions de travail. Cet indicateur regroupe l'ensemble des frais liés à l'amélioration des conditions d'hygiène et de prévention (autres formations, investissements, Equipements de Protection Individuelle…)</t>
  </si>
  <si>
    <t xml:space="preserve">(*) Il s'agit, par exemple :  </t>
  </si>
  <si>
    <t>- d’un centre de gestion dans le cadre de missions de conseil ou d’inspection,</t>
  </si>
  <si>
    <t>Répondre uniquement par oui (1) si des cotisations/subventions sont versées et par non (0) dans le cas contraire.</t>
  </si>
  <si>
    <t>Il s'agit des prestations servies directement par la collectivités à ses agents.</t>
  </si>
  <si>
    <t>* arrondir à l'euro supérieur.</t>
  </si>
  <si>
    <t>* voir notice dans la fiche 1.1.1.</t>
  </si>
  <si>
    <t>06 - Commune (y compris commune nouvelle)</t>
  </si>
  <si>
    <t>10 - Métropole (y compris métropole de Lyon)</t>
  </si>
  <si>
    <t>11 - Communauté urbaine</t>
  </si>
  <si>
    <t>12 - Communauté d'agglomération</t>
  </si>
  <si>
    <t>13 - Communauté de communes</t>
  </si>
  <si>
    <t>15 - Syndicat de communes à vocation multiple</t>
  </si>
  <si>
    <t>Puéricultrices cadres de santé</t>
  </si>
  <si>
    <t>Fiche 1.1.0</t>
  </si>
  <si>
    <t>IND 1.1.0</t>
  </si>
  <si>
    <t>Fiche 1.1.1</t>
  </si>
  <si>
    <t>IND 1.1.1</t>
  </si>
  <si>
    <t xml:space="preserve">Fiche 6.1.4 - Nombre de sanctions disciplinaires prononcées dans l'année </t>
  </si>
  <si>
    <t>Fiche 6.1.4</t>
  </si>
  <si>
    <t>Directeur d'établissement d'enseignement artistique de 1ère catégorie stagiaire</t>
  </si>
  <si>
    <t>SCD2</t>
  </si>
  <si>
    <t>Colonel stagiaire</t>
  </si>
  <si>
    <t>. Congés sans traitement (convenances personnelles, suivi de conjoint)</t>
  </si>
  <si>
    <t>Démarche de prévention des troubles musculo-squelettiques (TMS) ?</t>
  </si>
  <si>
    <t>FONCTIONNAIRES sur emploi permanent occupant un poste 
à TEMPS COMPLET et exerçant leurs fonctions à :</t>
  </si>
  <si>
    <t>Fonctionnaires sur emploi permanent</t>
  </si>
  <si>
    <t>Nombre de contractuels
sur emploi permanent *</t>
  </si>
  <si>
    <t>Nombre de contractuels
sur emploi non permanent *</t>
  </si>
  <si>
    <t>Sage-femme hors classe</t>
  </si>
  <si>
    <t>IND 2.1.0</t>
  </si>
  <si>
    <t xml:space="preserve">. Congé formation au-delà d'un an </t>
  </si>
  <si>
    <t>. Mise en disponibilité</t>
  </si>
  <si>
    <t>. Congé parental</t>
  </si>
  <si>
    <t>Départs  "définitifs"</t>
  </si>
  <si>
    <t>Contractuels sur emplois permanents</t>
  </si>
  <si>
    <t>Article 38</t>
  </si>
  <si>
    <t>Si oui, indiquez :</t>
  </si>
  <si>
    <t>Année de création du document</t>
  </si>
  <si>
    <t>NbAccidentServiceH</t>
  </si>
  <si>
    <t>NbAccidentServiceF</t>
  </si>
  <si>
    <t>NbAccidentTrajetH</t>
  </si>
  <si>
    <t>NbJrsArretsAccServiceH</t>
  </si>
  <si>
    <t>NbJrsArretsAccServiceF</t>
  </si>
  <si>
    <t>Agents contractuels recrutés sur emplois saisonniers ou occasionnels</t>
  </si>
  <si>
    <t>dont CPF</t>
  </si>
  <si>
    <r>
      <t xml:space="preserve">Mis à disposition dans une autre structure (articles 61 et 136) </t>
    </r>
    <r>
      <rPr>
        <i/>
        <sz val="9"/>
        <rFont val="Arial"/>
        <family val="2"/>
      </rPr>
      <t>Fonctionnaires et contractuels</t>
    </r>
  </si>
  <si>
    <r>
      <rPr>
        <u/>
        <sz val="9"/>
        <rFont val="Arial"/>
        <family val="2"/>
      </rPr>
      <t>Tableau 1 :</t>
    </r>
    <r>
      <rPr>
        <sz val="9"/>
        <rFont val="Arial"/>
        <family val="2"/>
      </rPr>
      <t xml:space="preserve"> recrutements de remplaçants, réintégrations et retours</t>
    </r>
  </si>
  <si>
    <r>
      <rPr>
        <u/>
        <sz val="9"/>
        <rFont val="Arial"/>
        <family val="2"/>
      </rPr>
      <t xml:space="preserve">Tableau 2 </t>
    </r>
    <r>
      <rPr>
        <sz val="9"/>
        <rFont val="Arial"/>
        <family val="2"/>
      </rPr>
      <t>: recrutements sur emploi permanent (hors remplaçants, réintégrations et retours)</t>
    </r>
  </si>
  <si>
    <r>
      <t xml:space="preserve">Collaborateurs de cabinet </t>
    </r>
    <r>
      <rPr>
        <sz val="9"/>
        <rFont val="Arial"/>
        <family val="2"/>
      </rPr>
      <t>(article 110 de la loi du 26 janvier 1984)</t>
    </r>
  </si>
  <si>
    <t>Assistants maternels</t>
  </si>
  <si>
    <t>02</t>
  </si>
  <si>
    <t>Assistants familiaux</t>
  </si>
  <si>
    <t>03</t>
  </si>
  <si>
    <t>Accueillants familiaux (Loi DALO de 2007)</t>
  </si>
  <si>
    <t>04</t>
  </si>
  <si>
    <t>05</t>
  </si>
  <si>
    <t>07</t>
  </si>
  <si>
    <t>09</t>
  </si>
  <si>
    <t>Apprentis</t>
  </si>
  <si>
    <t>Nombre total de journées d'absence au titre du congé de présence parentale</t>
  </si>
  <si>
    <r>
      <rPr>
        <sz val="10"/>
        <rFont val="Arial"/>
        <family val="2"/>
      </rPr>
      <t>* et selon le</t>
    </r>
    <r>
      <rPr>
        <b/>
        <sz val="10"/>
        <rFont val="Arial"/>
        <family val="2"/>
        <charset val="1"/>
      </rPr>
      <t xml:space="preserve"> sexe</t>
    </r>
    <r>
      <rPr>
        <sz val="10"/>
        <rFont val="Arial"/>
        <family val="2"/>
      </rPr>
      <t xml:space="preserve"> (en colonnes)</t>
    </r>
  </si>
  <si>
    <r>
      <t>- un agent n'est compté qu'</t>
    </r>
    <r>
      <rPr>
        <i/>
        <u/>
        <sz val="10"/>
        <rFont val="Arial"/>
        <family val="2"/>
      </rPr>
      <t>une seule fois.</t>
    </r>
  </si>
  <si>
    <r>
      <t>- les collectivités ayant répondu 'oui' à la question des</t>
    </r>
    <r>
      <rPr>
        <i/>
        <u/>
        <sz val="10"/>
        <rFont val="Arial"/>
        <family val="2"/>
      </rPr>
      <t xml:space="preserve"> cycles de travail délibérés avant le 1er janvier 2002</t>
    </r>
    <r>
      <rPr>
        <i/>
        <sz val="10"/>
        <rFont val="Arial"/>
        <family val="2"/>
      </rPr>
      <t xml:space="preserve"> devront recenser ces agents  sur la ligne correspondante.</t>
    </r>
  </si>
  <si>
    <r>
      <t>L'</t>
    </r>
    <r>
      <rPr>
        <b/>
        <sz val="10"/>
        <rFont val="Arial"/>
        <family val="2"/>
        <charset val="1"/>
      </rPr>
      <t>indicateur 2.2.2.</t>
    </r>
    <r>
      <rPr>
        <sz val="10"/>
        <rFont val="Arial"/>
        <family val="2"/>
      </rPr>
      <t xml:space="preserve"> recense les effectifs en nombre de personnes physiques (</t>
    </r>
    <r>
      <rPr>
        <b/>
        <sz val="10"/>
        <rFont val="Arial"/>
        <family val="2"/>
        <charset val="1"/>
      </rPr>
      <t>1 personne = 1 unité</t>
    </r>
    <r>
      <rPr>
        <sz val="10"/>
        <rFont val="Arial"/>
        <family val="2"/>
      </rPr>
      <t>).</t>
    </r>
  </si>
  <si>
    <r>
      <t xml:space="preserve">* les </t>
    </r>
    <r>
      <rPr>
        <b/>
        <sz val="10"/>
        <rFont val="Arial"/>
        <family val="2"/>
        <charset val="1"/>
      </rPr>
      <t>contractuels</t>
    </r>
    <r>
      <rPr>
        <sz val="10"/>
        <rFont val="Arial"/>
        <family val="2"/>
      </rPr>
      <t xml:space="preserve"> occupant un </t>
    </r>
    <r>
      <rPr>
        <b/>
        <sz val="10"/>
        <rFont val="Arial"/>
        <family val="2"/>
        <charset val="1"/>
      </rPr>
      <t>emploi permanent</t>
    </r>
    <r>
      <rPr>
        <sz val="10"/>
        <rFont val="Arial"/>
        <family val="2"/>
      </rPr>
      <t xml:space="preserve"> à </t>
    </r>
    <r>
      <rPr>
        <b/>
        <sz val="10"/>
        <rFont val="Arial"/>
        <family val="2"/>
        <charset val="1"/>
      </rPr>
      <t>temps complet</t>
    </r>
  </si>
  <si>
    <r>
      <t xml:space="preserve">* faisant l'objet de </t>
    </r>
    <r>
      <rPr>
        <b/>
        <sz val="10"/>
        <rFont val="Arial"/>
        <family val="2"/>
        <charset val="1"/>
      </rPr>
      <t>contraintes particulières</t>
    </r>
    <r>
      <rPr>
        <sz val="10"/>
        <rFont val="Arial"/>
        <family val="2"/>
      </rPr>
      <t xml:space="preserve"> concernant l'organisation du travail</t>
    </r>
  </si>
  <si>
    <r>
      <t>*selon les</t>
    </r>
    <r>
      <rPr>
        <b/>
        <sz val="10"/>
        <rFont val="Arial"/>
        <family val="2"/>
        <charset val="1"/>
      </rPr>
      <t xml:space="preserve"> contraintes</t>
    </r>
    <r>
      <rPr>
        <sz val="10"/>
        <rFont val="Arial"/>
        <family val="2"/>
      </rPr>
      <t xml:space="preserve"> suivantes (en lignes)</t>
    </r>
  </si>
  <si>
    <r>
      <rPr>
        <sz val="10"/>
        <rFont val="Arial"/>
        <family val="2"/>
      </rPr>
      <t xml:space="preserve">*et selon le </t>
    </r>
    <r>
      <rPr>
        <b/>
        <sz val="10"/>
        <rFont val="Arial"/>
        <family val="2"/>
        <charset val="1"/>
      </rPr>
      <t>sexe</t>
    </r>
    <r>
      <rPr>
        <sz val="10"/>
        <rFont val="Arial"/>
        <family val="2"/>
      </rPr>
      <t xml:space="preserve"> (en colonnes)</t>
    </r>
  </si>
  <si>
    <r>
      <rPr>
        <sz val="10"/>
        <rFont val="Arial"/>
        <family val="2"/>
      </rPr>
      <t>L’indicateur 1.1.1. recense les effectifs en nombre de personnes physiques</t>
    </r>
    <r>
      <rPr>
        <b/>
        <sz val="10"/>
        <rFont val="Arial"/>
        <family val="2"/>
        <charset val="1"/>
      </rPr>
      <t xml:space="preserve"> (1 personne = 1 unité)</t>
    </r>
    <r>
      <rPr>
        <sz val="10"/>
        <rFont val="Arial"/>
        <family val="2"/>
      </rPr>
      <t>.</t>
    </r>
  </si>
  <si>
    <r>
      <rPr>
        <sz val="10"/>
        <rFont val="Arial"/>
        <family val="2"/>
      </rPr>
      <t>* les</t>
    </r>
    <r>
      <rPr>
        <b/>
        <sz val="10"/>
        <rFont val="Arial"/>
        <family val="2"/>
        <charset val="1"/>
      </rPr>
      <t xml:space="preserve"> fonctionnaires</t>
    </r>
    <r>
      <rPr>
        <sz val="10"/>
        <rFont val="Arial"/>
        <family val="2"/>
      </rPr>
      <t xml:space="preserve"> (titulaires et stagiaires)</t>
    </r>
  </si>
  <si>
    <r>
      <rPr>
        <sz val="10"/>
        <rFont val="Arial"/>
        <family val="2"/>
      </rPr>
      <t>* occupant un</t>
    </r>
    <r>
      <rPr>
        <b/>
        <sz val="10"/>
        <rFont val="Arial"/>
        <family val="2"/>
        <charset val="1"/>
      </rPr>
      <t xml:space="preserve"> emploi permanent</t>
    </r>
  </si>
  <si>
    <r>
      <t>- les</t>
    </r>
    <r>
      <rPr>
        <b/>
        <sz val="10"/>
        <rFont val="Arial"/>
        <family val="2"/>
        <charset val="1"/>
      </rPr>
      <t xml:space="preserve"> fonctionnaires en activité</t>
    </r>
    <r>
      <rPr>
        <sz val="10"/>
        <rFont val="Arial"/>
        <family val="2"/>
      </rPr>
      <t xml:space="preserve"> dans votre collectivité et rémunérés par votre collectivité</t>
    </r>
  </si>
  <si>
    <t>- dont les fonctionnaires qui, détachés d'autres structures, sont en position d'activité dans votre collectivité ;</t>
  </si>
  <si>
    <r>
      <t xml:space="preserve">- les </t>
    </r>
    <r>
      <rPr>
        <b/>
        <sz val="10"/>
        <rFont val="Arial"/>
        <family val="2"/>
        <charset val="1"/>
      </rPr>
      <t>fonctionnaires</t>
    </r>
    <r>
      <rPr>
        <sz val="10"/>
        <rFont val="Arial"/>
        <family val="2"/>
      </rPr>
      <t xml:space="preserve"> qui, n'exerçant pas leurs fonctions dans votre collectivité, sont </t>
    </r>
    <r>
      <rPr>
        <b/>
        <sz val="10"/>
        <rFont val="Arial"/>
        <family val="2"/>
        <charset val="1"/>
      </rPr>
      <t>mis à la disposition d'autres structures</t>
    </r>
    <r>
      <rPr>
        <sz val="10"/>
        <rFont val="Arial"/>
        <family val="2"/>
      </rPr>
      <t xml:space="preserve"> ;</t>
    </r>
  </si>
  <si>
    <r>
      <t xml:space="preserve">- </t>
    </r>
    <r>
      <rPr>
        <b/>
        <u/>
        <sz val="10"/>
        <rFont val="Arial"/>
        <family val="2"/>
        <charset val="1"/>
      </rPr>
      <t>pour le CNFPT et les Centres de Gestion uniquement :</t>
    </r>
    <r>
      <rPr>
        <sz val="10"/>
        <rFont val="Arial"/>
        <family val="2"/>
      </rPr>
      <t xml:space="preserve"> les </t>
    </r>
    <r>
      <rPr>
        <b/>
        <sz val="10"/>
        <rFont val="Arial"/>
        <family val="2"/>
        <charset val="1"/>
      </rPr>
      <t>fonctionnaires</t>
    </r>
    <r>
      <rPr>
        <sz val="10"/>
        <rFont val="Arial"/>
        <family val="2"/>
      </rPr>
      <t xml:space="preserve"> dont ils assument la</t>
    </r>
    <r>
      <rPr>
        <b/>
        <sz val="10"/>
        <rFont val="Arial"/>
        <family val="2"/>
        <charset val="1"/>
      </rPr>
      <t xml:space="preserve"> prise en charge</t>
    </r>
    <r>
      <rPr>
        <sz val="10"/>
        <rFont val="Arial"/>
        <family val="2"/>
      </rPr>
      <t xml:space="preserve"> (suite à une suppression d'emploi, une fin de détachement sur emploi fonctionnel de direction...).</t>
    </r>
  </si>
  <si>
    <r>
      <t xml:space="preserve">- les </t>
    </r>
    <r>
      <rPr>
        <b/>
        <i/>
        <sz val="10"/>
        <rFont val="Arial"/>
        <family val="2"/>
        <charset val="1"/>
      </rPr>
      <t>fonctionnaires détachés sur un emploi de cabinet</t>
    </r>
    <r>
      <rPr>
        <i/>
        <sz val="10"/>
        <rFont val="Arial"/>
        <family val="2"/>
        <charset val="1"/>
      </rPr>
      <t xml:space="preserve"> qui n’est pas un emploi permanent
au sens de la loi du 26 janvier 1984. Ils seront recensés à l’indicateur 1.3.1 « Autres personnels ».</t>
    </r>
  </si>
  <si>
    <r>
      <t xml:space="preserve">- </t>
    </r>
    <r>
      <rPr>
        <i/>
        <sz val="10"/>
        <rFont val="Arial"/>
        <family val="2"/>
        <charset val="1"/>
      </rPr>
      <t xml:space="preserve">les </t>
    </r>
    <r>
      <rPr>
        <b/>
        <i/>
        <sz val="10"/>
        <rFont val="Arial"/>
        <family val="2"/>
        <charset val="1"/>
      </rPr>
      <t>fonctionnaires</t>
    </r>
    <r>
      <rPr>
        <i/>
        <sz val="10"/>
        <rFont val="Arial"/>
        <family val="2"/>
        <charset val="1"/>
      </rPr>
      <t xml:space="preserve"> qui, appartenant à d'autres structures, sont </t>
    </r>
    <r>
      <rPr>
        <b/>
        <i/>
        <sz val="10"/>
        <rFont val="Arial"/>
        <family val="2"/>
        <charset val="1"/>
      </rPr>
      <t>mis à la disposition de votre collectivité</t>
    </r>
    <r>
      <rPr>
        <i/>
        <sz val="10"/>
        <rFont val="Arial"/>
        <family val="2"/>
        <charset val="1"/>
      </rPr>
      <t xml:space="preserve">, mais ne sont </t>
    </r>
    <r>
      <rPr>
        <b/>
        <i/>
        <sz val="10"/>
        <rFont val="Arial"/>
        <family val="2"/>
        <charset val="1"/>
      </rPr>
      <t>pas rémunérés par votre collectivité</t>
    </r>
    <r>
      <rPr>
        <i/>
        <sz val="10"/>
        <rFont val="Arial"/>
        <family val="2"/>
        <charset val="1"/>
      </rPr>
      <t xml:space="preserve"> et seront recensés dans leur collectivité d’origine ;</t>
    </r>
  </si>
  <si>
    <r>
      <t xml:space="preserve">- </t>
    </r>
    <r>
      <rPr>
        <i/>
        <sz val="10"/>
        <rFont val="Arial"/>
        <family val="2"/>
        <charset val="1"/>
      </rPr>
      <t xml:space="preserve">les </t>
    </r>
    <r>
      <rPr>
        <b/>
        <i/>
        <sz val="10"/>
        <rFont val="Arial"/>
        <family val="2"/>
        <charset val="1"/>
      </rPr>
      <t>fonctionnaires placés en CFA</t>
    </r>
    <r>
      <rPr>
        <i/>
        <sz val="10"/>
        <rFont val="Arial"/>
        <family val="2"/>
        <charset val="1"/>
      </rPr>
      <t xml:space="preserve"> qui ne sont pas en activité et ne perçoivent qu’un revenu de remplacement ;</t>
    </r>
  </si>
  <si>
    <r>
      <rPr>
        <sz val="10"/>
        <rFont val="Arial"/>
        <family val="2"/>
      </rPr>
      <t xml:space="preserve">- </t>
    </r>
    <r>
      <rPr>
        <i/>
        <sz val="10"/>
        <rFont val="Arial"/>
        <family val="2"/>
        <charset val="1"/>
      </rPr>
      <t xml:space="preserve">les </t>
    </r>
    <r>
      <rPr>
        <b/>
        <i/>
        <sz val="10"/>
        <rFont val="Arial"/>
        <family val="2"/>
        <charset val="1"/>
      </rPr>
      <t>fonctionnaires originaires de votre collectivité</t>
    </r>
    <r>
      <rPr>
        <i/>
        <sz val="10"/>
        <rFont val="Arial"/>
        <family val="2"/>
        <charset val="1"/>
      </rPr>
      <t xml:space="preserve"> pris en charge par le </t>
    </r>
    <r>
      <rPr>
        <b/>
        <i/>
        <sz val="10"/>
        <rFont val="Arial"/>
        <family val="2"/>
        <charset val="1"/>
      </rPr>
      <t>CNFPT</t>
    </r>
    <r>
      <rPr>
        <i/>
        <sz val="10"/>
        <rFont val="Arial"/>
        <family val="2"/>
        <charset val="1"/>
      </rPr>
      <t xml:space="preserve"> ou par un </t>
    </r>
    <r>
      <rPr>
        <b/>
        <i/>
        <sz val="10"/>
        <rFont val="Arial"/>
        <family val="2"/>
        <charset val="1"/>
      </rPr>
      <t>Centre de gestion</t>
    </r>
    <r>
      <rPr>
        <i/>
        <sz val="10"/>
        <rFont val="Arial"/>
        <family val="2"/>
        <charset val="1"/>
      </rPr>
      <t xml:space="preserve"> (suite à une suppression d'emploi, une fin de détachement sur emploi fonctionnel de direction...) qui doivent être recensés par l’organisme qui les a pris en charge et qui les rémunère;</t>
    </r>
  </si>
  <si>
    <r>
      <t xml:space="preserve">- les </t>
    </r>
    <r>
      <rPr>
        <b/>
        <i/>
        <sz val="10"/>
        <rFont val="Arial"/>
        <family val="2"/>
        <charset val="1"/>
      </rPr>
      <t>fonctionnaires partis ou placés dans une position autre que l’activité</t>
    </r>
    <r>
      <rPr>
        <i/>
        <sz val="10"/>
        <rFont val="Arial"/>
        <family val="2"/>
        <charset val="1"/>
      </rPr>
      <t xml:space="preserve"> qui ont perçu un</t>
    </r>
    <r>
      <rPr>
        <b/>
        <i/>
        <sz val="10"/>
        <rFont val="Arial"/>
        <family val="2"/>
        <charset val="1"/>
      </rPr>
      <t xml:space="preserve"> rappel de traitement en décembre </t>
    </r>
  </si>
  <si>
    <r>
      <rPr>
        <sz val="10"/>
        <rFont val="Arial"/>
        <family val="2"/>
      </rPr>
      <t>* par</t>
    </r>
    <r>
      <rPr>
        <b/>
        <sz val="10"/>
        <rFont val="Arial"/>
        <family val="2"/>
        <charset val="1"/>
      </rPr>
      <t xml:space="preserve"> filière,</t>
    </r>
    <r>
      <rPr>
        <sz val="10"/>
        <rFont val="Arial"/>
        <family val="2"/>
      </rPr>
      <t xml:space="preserve"> déclinée en</t>
    </r>
    <r>
      <rPr>
        <b/>
        <sz val="10"/>
        <rFont val="Arial"/>
        <family val="2"/>
        <charset val="1"/>
      </rPr>
      <t xml:space="preserve"> cadres d'emplois </t>
    </r>
    <r>
      <rPr>
        <sz val="10"/>
        <rFont val="Arial"/>
        <family val="2"/>
      </rPr>
      <t>puis en</t>
    </r>
    <r>
      <rPr>
        <b/>
        <sz val="10"/>
        <rFont val="Arial"/>
        <family val="2"/>
        <charset val="1"/>
      </rPr>
      <t xml:space="preserve"> grades </t>
    </r>
    <r>
      <rPr>
        <sz val="10"/>
        <rFont val="Arial"/>
        <family val="2"/>
      </rPr>
      <t xml:space="preserve">(en lignes) </t>
    </r>
  </si>
  <si>
    <t>Contractuels sur
emploi permanent</t>
  </si>
  <si>
    <t>13</t>
  </si>
  <si>
    <t>Fonctionnaires stagiaires</t>
  </si>
  <si>
    <t>sanction2</t>
  </si>
  <si>
    <t>Exclusion définitive du service</t>
  </si>
  <si>
    <t xml:space="preserve">Avertissement </t>
  </si>
  <si>
    <t>Exclusion temporaire de fonctions</t>
  </si>
  <si>
    <t>Licenciement</t>
  </si>
  <si>
    <t>Probité, intégrité (détournement, conservation de fonds, malversation, vol, dégradation, dettes, chèque sans provision)</t>
  </si>
  <si>
    <r>
      <t xml:space="preserve">- tableau 1 : recrutement de </t>
    </r>
    <r>
      <rPr>
        <b/>
        <sz val="10"/>
        <rFont val="Arial"/>
        <family val="2"/>
        <charset val="1"/>
      </rPr>
      <t>remplaçants</t>
    </r>
    <r>
      <rPr>
        <sz val="10"/>
        <rFont val="Arial"/>
        <family val="2"/>
      </rPr>
      <t xml:space="preserve">, </t>
    </r>
    <r>
      <rPr>
        <b/>
        <sz val="10"/>
        <rFont val="Arial"/>
        <family val="2"/>
        <charset val="1"/>
      </rPr>
      <t>réintégrations</t>
    </r>
    <r>
      <rPr>
        <sz val="10"/>
        <rFont val="Arial"/>
        <family val="2"/>
      </rPr>
      <t xml:space="preserve"> et </t>
    </r>
    <r>
      <rPr>
        <b/>
        <sz val="10"/>
        <rFont val="Arial"/>
        <family val="2"/>
        <charset val="1"/>
      </rPr>
      <t>retours</t>
    </r>
    <r>
      <rPr>
        <sz val="10"/>
        <rFont val="Arial"/>
        <family val="2"/>
      </rPr>
      <t xml:space="preserve"> (une ligne pour chacun) </t>
    </r>
  </si>
  <si>
    <r>
      <t xml:space="preserve">- tableau 2 : recrutement sur un </t>
    </r>
    <r>
      <rPr>
        <b/>
        <sz val="10"/>
        <rFont val="Arial"/>
        <family val="2"/>
        <charset val="1"/>
      </rPr>
      <t xml:space="preserve">emploi permanent, </t>
    </r>
    <r>
      <rPr>
        <sz val="10"/>
        <rFont val="Arial"/>
        <family val="2"/>
      </rPr>
      <t>hors recrutements figurant dans le tableau 1.</t>
    </r>
  </si>
  <si>
    <r>
      <t>* par</t>
    </r>
    <r>
      <rPr>
        <b/>
        <sz val="10"/>
        <rFont val="Arial"/>
        <family val="2"/>
        <charset val="1"/>
      </rPr>
      <t xml:space="preserve"> filières </t>
    </r>
    <r>
      <rPr>
        <sz val="10"/>
        <rFont val="Arial"/>
        <family val="2"/>
      </rPr>
      <t xml:space="preserve">déclinées par </t>
    </r>
    <r>
      <rPr>
        <b/>
        <sz val="10"/>
        <rFont val="Arial"/>
        <family val="2"/>
        <charset val="1"/>
      </rPr>
      <t xml:space="preserve">cadres d'emplois </t>
    </r>
    <r>
      <rPr>
        <sz val="10"/>
        <rFont val="Arial"/>
        <family val="2"/>
      </rPr>
      <t>(tableau 2 ; en lignes)</t>
    </r>
  </si>
  <si>
    <r>
      <t xml:space="preserve">* selon les </t>
    </r>
    <r>
      <rPr>
        <b/>
        <sz val="10"/>
        <rFont val="Arial"/>
        <family val="2"/>
        <charset val="1"/>
      </rPr>
      <t>caractéristiques de leur emploi</t>
    </r>
    <r>
      <rPr>
        <sz val="10"/>
        <rFont val="Arial"/>
        <family val="2"/>
      </rPr>
      <t xml:space="preserve"> (temps complet ou non complet) et selon le</t>
    </r>
    <r>
      <rPr>
        <b/>
        <sz val="10"/>
        <rFont val="Arial"/>
        <family val="2"/>
        <charset val="1"/>
      </rPr>
      <t xml:space="preserve"> sexe</t>
    </r>
    <r>
      <rPr>
        <sz val="10"/>
        <rFont val="Arial"/>
        <family val="2"/>
      </rPr>
      <t xml:space="preserve"> (tableaux 1 et 2 ;en colonnes) </t>
    </r>
  </si>
  <si>
    <r>
      <rPr>
        <sz val="10"/>
        <rFont val="Arial"/>
        <family val="2"/>
      </rPr>
      <t>L'indicateur 1.6.1 recense les effectifs en nombre de personnes physiques</t>
    </r>
    <r>
      <rPr>
        <b/>
        <sz val="10"/>
        <rFont val="Arial"/>
        <family val="2"/>
        <charset val="1"/>
      </rPr>
      <t xml:space="preserve"> (1 personne = 1 unité).</t>
    </r>
  </si>
  <si>
    <r>
      <rPr>
        <sz val="10"/>
        <rFont val="Arial"/>
        <family val="2"/>
      </rPr>
      <t xml:space="preserve">L'indicateur 1.6.2(1) recense les dépenses en </t>
    </r>
    <r>
      <rPr>
        <b/>
        <sz val="10"/>
        <rFont val="Arial"/>
        <family val="2"/>
        <charset val="1"/>
      </rPr>
      <t>euros.</t>
    </r>
  </si>
  <si>
    <r>
      <t>Ne pas remplir</t>
    </r>
    <r>
      <rPr>
        <sz val="10"/>
        <rFont val="Arial"/>
        <family val="2"/>
      </rPr>
      <t xml:space="preserve"> les </t>
    </r>
    <r>
      <rPr>
        <b/>
        <sz val="10"/>
        <rFont val="Arial"/>
        <family val="2"/>
      </rPr>
      <t>cellules grisées</t>
    </r>
    <r>
      <rPr>
        <sz val="10"/>
        <rFont val="Arial"/>
        <family val="2"/>
      </rPr>
      <t xml:space="preserve"> (pré remplies par un zéro), ni celles de l'indicateur 1.6.2(2) qui font l’objet de </t>
    </r>
    <r>
      <rPr>
        <b/>
        <sz val="10"/>
        <rFont val="Arial"/>
        <family val="2"/>
      </rPr>
      <t>calculs automatiques</t>
    </r>
    <r>
      <rPr>
        <sz val="10"/>
        <rFont val="Arial"/>
        <family val="2"/>
      </rPr>
      <t>.</t>
    </r>
  </si>
  <si>
    <r>
      <rPr>
        <sz val="10"/>
        <rFont val="Arial"/>
        <family val="2"/>
      </rPr>
      <t>* les</t>
    </r>
    <r>
      <rPr>
        <b/>
        <sz val="10"/>
        <rFont val="Arial"/>
        <family val="2"/>
        <charset val="1"/>
      </rPr>
      <t xml:space="preserve"> fonctionnaires </t>
    </r>
    <r>
      <rPr>
        <sz val="10"/>
        <rFont val="Arial"/>
        <family val="2"/>
      </rPr>
      <t>(titulaires et stagiaires)</t>
    </r>
  </si>
  <si>
    <r>
      <rPr>
        <sz val="10"/>
        <rFont val="Arial"/>
        <family val="2"/>
      </rPr>
      <t>* et les</t>
    </r>
    <r>
      <rPr>
        <b/>
        <sz val="10"/>
        <rFont val="Arial"/>
        <family val="2"/>
        <charset val="1"/>
      </rPr>
      <t xml:space="preserve"> contractuels </t>
    </r>
    <r>
      <rPr>
        <sz val="10"/>
        <rFont val="Arial"/>
        <family val="2"/>
      </rPr>
      <t>(sur emploi permanent ou non permanent)</t>
    </r>
  </si>
  <si>
    <r>
      <rPr>
        <sz val="10"/>
        <rFont val="Arial"/>
        <family val="2"/>
      </rPr>
      <t>* occupant un</t>
    </r>
    <r>
      <rPr>
        <b/>
        <sz val="10"/>
        <rFont val="Arial"/>
        <family val="2"/>
        <charset val="1"/>
      </rPr>
      <t xml:space="preserve"> emploi de travailleur en situation de handicap </t>
    </r>
    <r>
      <rPr>
        <sz val="10"/>
        <rFont val="Arial"/>
        <family val="2"/>
      </rPr>
      <t>(</t>
    </r>
    <r>
      <rPr>
        <i/>
        <sz val="10"/>
        <rFont val="Arial"/>
        <family val="2"/>
        <charset val="1"/>
      </rPr>
      <t>i.e</t>
    </r>
    <r>
      <rPr>
        <sz val="10"/>
        <rFont val="Arial"/>
        <family val="2"/>
      </rPr>
      <t>. bénéficiaires de l'obligation d'emploi)</t>
    </r>
  </si>
  <si>
    <r>
      <t>Remarque :</t>
    </r>
    <r>
      <rPr>
        <i/>
        <sz val="10"/>
        <color indexed="45"/>
        <rFont val="Arial"/>
        <family val="2"/>
        <charset val="1"/>
      </rPr>
      <t xml:space="preserve"> </t>
    </r>
    <r>
      <rPr>
        <i/>
        <sz val="10"/>
        <rFont val="Arial"/>
        <family val="2"/>
      </rPr>
      <t>ces agents, s'ils sont présents dans la collectivité, sont à recenser quelle que soit sa taille (y compris celles ayant moins de 20 agents)</t>
    </r>
  </si>
  <si>
    <r>
      <t>Remarque</t>
    </r>
    <r>
      <rPr>
        <i/>
        <sz val="9"/>
        <color indexed="10"/>
        <rFont val="Arial"/>
        <family val="2"/>
      </rPr>
      <t xml:space="preserve"> : </t>
    </r>
    <r>
      <rPr>
        <i/>
        <sz val="9"/>
        <rFont val="Arial"/>
        <family val="2"/>
      </rPr>
      <t xml:space="preserve">seuls </t>
    </r>
    <r>
      <rPr>
        <i/>
        <u/>
        <sz val="9"/>
        <rFont val="Arial"/>
        <family val="2"/>
      </rPr>
      <t>le CNFPT et les CDG</t>
    </r>
    <r>
      <rPr>
        <i/>
        <sz val="9"/>
        <rFont val="Arial"/>
        <family val="2"/>
      </rPr>
      <t xml:space="preserve"> doivent renseigner cet indicateur</t>
    </r>
  </si>
  <si>
    <t>1.1.3 - Nombre de fonctionnaires bénéficiaires d'un temps partiel de droit ou sur autorisation par catégorie et sexe</t>
  </si>
  <si>
    <t>inaptitude</t>
  </si>
  <si>
    <t>Médecins, pharmaciens</t>
  </si>
  <si>
    <t>Lieutenants</t>
  </si>
  <si>
    <t>Infirmiers d'encadrement</t>
  </si>
  <si>
    <t>Sous-officiers</t>
  </si>
  <si>
    <t>Sapeurs et caporaux</t>
  </si>
  <si>
    <t>Animateurs</t>
  </si>
  <si>
    <t>Adjoints d'animation</t>
  </si>
  <si>
    <t>3.1.1.6</t>
  </si>
  <si>
    <t>dont primes et indemnités (à l'exception des frais de déplacement)</t>
  </si>
  <si>
    <t>dont nouvelle bonification indiciaire (NBI)</t>
  </si>
  <si>
    <t>dont heures supplémentaires ou complémentaires</t>
  </si>
  <si>
    <t>dont SFT</t>
  </si>
  <si>
    <t>dont IR</t>
  </si>
  <si>
    <t>3.2.1.2</t>
  </si>
  <si>
    <t>3.2.1.3</t>
  </si>
  <si>
    <t>dont primes et indemnités</t>
  </si>
  <si>
    <t>dont heures supplémentaires ou  complémentaires</t>
  </si>
  <si>
    <r>
      <rPr>
        <b/>
        <i/>
        <sz val="10"/>
        <color indexed="10"/>
        <rFont val="Arial"/>
        <family val="2"/>
      </rPr>
      <t>Remarque :</t>
    </r>
    <r>
      <rPr>
        <b/>
        <i/>
        <sz val="10"/>
        <rFont val="Arial"/>
        <family val="2"/>
      </rPr>
      <t xml:space="preserve"> ne pas remplir</t>
    </r>
    <r>
      <rPr>
        <i/>
        <sz val="10"/>
        <rFont val="Arial"/>
        <family val="2"/>
      </rPr>
      <t xml:space="preserve"> les </t>
    </r>
    <r>
      <rPr>
        <b/>
        <i/>
        <sz val="10"/>
        <rFont val="Arial"/>
        <family val="2"/>
      </rPr>
      <t>cellules grisées</t>
    </r>
    <r>
      <rPr>
        <i/>
        <sz val="10"/>
        <rFont val="Arial"/>
        <family val="2"/>
      </rPr>
      <t xml:space="preserve"> (pré remplies par un zéro) qui font l’objet de </t>
    </r>
    <r>
      <rPr>
        <b/>
        <i/>
        <sz val="10"/>
        <rFont val="Arial"/>
        <family val="2"/>
      </rPr>
      <t xml:space="preserve">calculs automatiques. </t>
    </r>
  </si>
  <si>
    <r>
      <rPr>
        <b/>
        <i/>
        <sz val="9"/>
        <color indexed="10"/>
        <rFont val="Arial"/>
        <family val="2"/>
      </rPr>
      <t>Remarque :</t>
    </r>
    <r>
      <rPr>
        <i/>
        <sz val="9"/>
        <rFont val="Arial"/>
        <family val="2"/>
      </rPr>
      <t xml:space="preserve"> </t>
    </r>
    <r>
      <rPr>
        <b/>
        <i/>
        <sz val="9"/>
        <rFont val="Arial"/>
        <family val="2"/>
      </rPr>
      <t>ne pas remplir</t>
    </r>
    <r>
      <rPr>
        <i/>
        <sz val="9"/>
        <rFont val="Arial"/>
        <family val="2"/>
      </rPr>
      <t xml:space="preserve"> les </t>
    </r>
    <r>
      <rPr>
        <b/>
        <i/>
        <sz val="9"/>
        <rFont val="Arial"/>
        <family val="2"/>
      </rPr>
      <t xml:space="preserve">cellules grisées </t>
    </r>
    <r>
      <rPr>
        <i/>
        <sz val="9"/>
        <rFont val="Arial"/>
        <family val="2"/>
      </rPr>
      <t xml:space="preserve">(pré remplies par un zéro) qui font l’objet de </t>
    </r>
    <r>
      <rPr>
        <b/>
        <i/>
        <sz val="9"/>
        <rFont val="Arial"/>
        <family val="2"/>
      </rPr>
      <t>calculs automatiques</t>
    </r>
    <r>
      <rPr>
        <i/>
        <sz val="9"/>
        <rFont val="Arial"/>
        <family val="2"/>
      </rPr>
      <t xml:space="preserve">. </t>
    </r>
  </si>
  <si>
    <r>
      <rPr>
        <b/>
        <i/>
        <sz val="9"/>
        <color indexed="10"/>
        <rFont val="Arial"/>
        <family val="2"/>
      </rPr>
      <t>Remarque :</t>
    </r>
    <r>
      <rPr>
        <i/>
        <sz val="9"/>
        <color indexed="10"/>
        <rFont val="Arial"/>
        <family val="2"/>
      </rPr>
      <t xml:space="preserve"> </t>
    </r>
    <r>
      <rPr>
        <b/>
        <i/>
        <sz val="9"/>
        <rFont val="Arial"/>
        <family val="2"/>
      </rPr>
      <t>ne pas remplir</t>
    </r>
    <r>
      <rPr>
        <i/>
        <sz val="9"/>
        <rFont val="Arial"/>
        <family val="2"/>
      </rPr>
      <t xml:space="preserve"> les </t>
    </r>
    <r>
      <rPr>
        <b/>
        <i/>
        <sz val="9"/>
        <rFont val="Arial"/>
        <family val="2"/>
      </rPr>
      <t xml:space="preserve">cellules grisées </t>
    </r>
    <r>
      <rPr>
        <i/>
        <sz val="9"/>
        <rFont val="Arial"/>
        <family val="2"/>
      </rPr>
      <t xml:space="preserve">(pré remplies par un zéro) qui font l’objet de </t>
    </r>
    <r>
      <rPr>
        <b/>
        <i/>
        <sz val="9"/>
        <rFont val="Arial"/>
        <family val="2"/>
      </rPr>
      <t>calculs automatiques</t>
    </r>
    <r>
      <rPr>
        <i/>
        <sz val="9"/>
        <rFont val="Arial"/>
        <family val="2"/>
      </rPr>
      <t xml:space="preserve">. </t>
    </r>
  </si>
  <si>
    <t>Assistant socio-éducatif de 2ème classe</t>
  </si>
  <si>
    <t>Assistant socio-éducatif de 2ème classe stagiaire</t>
  </si>
  <si>
    <t>Educateur de jeunes enfants de 2ème classe</t>
  </si>
  <si>
    <t>Educateur de jeunes enfants de 2ème classe stagiaire</t>
  </si>
  <si>
    <t>Psychologue de classe normale</t>
  </si>
  <si>
    <t>Psycholoque de classe normale stagiaire</t>
  </si>
  <si>
    <t>Cadré de santé de 1ère classe</t>
  </si>
  <si>
    <t>sexe/statut tit</t>
  </si>
  <si>
    <t>sexe/categ</t>
  </si>
  <si>
    <t>statut3/categ_hier</t>
  </si>
  <si>
    <t>statut3</t>
  </si>
  <si>
    <t>cycle1</t>
  </si>
  <si>
    <t>annee_compte</t>
  </si>
  <si>
    <t>annee_jour</t>
  </si>
  <si>
    <t>4.2.5 - Contrat d'assurance statutaire pour la prise en charge du risque maladie</t>
  </si>
  <si>
    <r>
      <t>- les</t>
    </r>
    <r>
      <rPr>
        <b/>
        <sz val="10"/>
        <rFont val="Arial"/>
        <family val="2"/>
      </rPr>
      <t xml:space="preserve"> agents de droit public</t>
    </r>
    <r>
      <rPr>
        <sz val="10"/>
        <rFont val="Arial"/>
        <family val="2"/>
      </rPr>
      <t xml:space="preserve"> répertoriés selon les colonnes listées ci-dessous en référence </t>
    </r>
    <r>
      <rPr>
        <b/>
        <sz val="10"/>
        <rFont val="Arial"/>
        <family val="2"/>
      </rPr>
      <t>aux dispositions législatives qui autorisent leur recrutement</t>
    </r>
    <r>
      <rPr>
        <sz val="10"/>
        <rFont val="Arial"/>
        <family val="2"/>
      </rPr>
      <t xml:space="preserve">, y compris les </t>
    </r>
    <r>
      <rPr>
        <u/>
        <sz val="10"/>
        <rFont val="Arial"/>
        <family val="2"/>
      </rPr>
      <t>remplaçants de fonctionnaires momentanément indisponibles</t>
    </r>
    <r>
      <rPr>
        <sz val="10"/>
        <rFont val="Arial"/>
        <family val="2"/>
      </rPr>
      <t xml:space="preserve"> car ils sont affectés sur un emploi permanent ;</t>
    </r>
  </si>
  <si>
    <r>
      <t xml:space="preserve">- les </t>
    </r>
    <r>
      <rPr>
        <b/>
        <sz val="10"/>
        <rFont val="Arial"/>
        <family val="2"/>
        <charset val="1"/>
      </rPr>
      <t>agents de droit privé</t>
    </r>
    <r>
      <rPr>
        <sz val="10"/>
        <rFont val="Arial"/>
        <family val="2"/>
      </rPr>
      <t xml:space="preserve"> dont le contrat a été repris à l’occasion de la</t>
    </r>
    <r>
      <rPr>
        <b/>
        <sz val="10"/>
        <rFont val="Arial"/>
        <family val="2"/>
        <charset val="1"/>
      </rPr>
      <t xml:space="preserve"> reprise d’activités transférées ou précédemment déléguées à des associations</t>
    </r>
    <r>
      <rPr>
        <sz val="10"/>
        <rFont val="Arial"/>
        <family val="2"/>
      </rPr>
      <t>.</t>
    </r>
  </si>
  <si>
    <r>
      <t xml:space="preserve">- les agents contractuels recrutés sur un </t>
    </r>
    <r>
      <rPr>
        <b/>
        <i/>
        <sz val="10"/>
        <rFont val="Arial"/>
        <family val="2"/>
        <charset val="1"/>
      </rPr>
      <t>emploi non permanent</t>
    </r>
    <r>
      <rPr>
        <i/>
        <sz val="10"/>
        <rFont val="Arial"/>
        <family val="2"/>
        <charset val="1"/>
      </rPr>
      <t xml:space="preserve"> au sens de la loi du 26 janvier 1984 : </t>
    </r>
    <r>
      <rPr>
        <b/>
        <i/>
        <sz val="10"/>
        <rFont val="Arial"/>
        <family val="2"/>
        <charset val="1"/>
      </rPr>
      <t> </t>
    </r>
    <r>
      <rPr>
        <i/>
        <sz val="10"/>
        <rFont val="Arial"/>
        <family val="2"/>
        <charset val="1"/>
      </rPr>
      <t xml:space="preserve">agents recrutés pour un </t>
    </r>
    <r>
      <rPr>
        <b/>
        <i/>
        <sz val="10"/>
        <rFont val="Arial"/>
        <family val="2"/>
        <charset val="1"/>
      </rPr>
      <t>besoin saisonnier ou occasionnel</t>
    </r>
    <r>
      <rPr>
        <i/>
        <sz val="10"/>
        <rFont val="Arial"/>
        <family val="2"/>
        <charset val="1"/>
      </rPr>
      <t xml:space="preserve"> (article 3 de la loi du 26 janvier 1984) et </t>
    </r>
    <r>
      <rPr>
        <b/>
        <i/>
        <sz val="10"/>
        <rFont val="Arial"/>
        <family val="2"/>
        <charset val="1"/>
      </rPr>
      <t>collaborateurs de cabinet</t>
    </r>
    <r>
      <rPr>
        <i/>
        <sz val="10"/>
        <rFont val="Arial"/>
        <family val="2"/>
        <charset val="1"/>
      </rPr>
      <t xml:space="preserve"> (article 110 de la loi du 26 janvier 1984) et </t>
    </r>
    <r>
      <rPr>
        <b/>
        <i/>
        <sz val="10"/>
        <rFont val="Arial"/>
        <family val="2"/>
        <charset val="1"/>
      </rPr>
      <t>collaborateurs de groupe d'élus</t>
    </r>
    <r>
      <rPr>
        <i/>
        <sz val="10"/>
        <rFont val="Arial"/>
        <family val="2"/>
        <charset val="1"/>
      </rPr>
      <t xml:space="preserve"> (article 110-1 de la loi du 26 janvier 1984);</t>
    </r>
  </si>
  <si>
    <r>
      <t xml:space="preserve">- </t>
    </r>
    <r>
      <rPr>
        <i/>
        <sz val="10"/>
        <rFont val="Arial"/>
        <family val="2"/>
        <charset val="1"/>
      </rPr>
      <t xml:space="preserve">les </t>
    </r>
    <r>
      <rPr>
        <b/>
        <i/>
        <sz val="10"/>
        <rFont val="Arial"/>
        <family val="2"/>
        <charset val="1"/>
      </rPr>
      <t xml:space="preserve">assistants maternels </t>
    </r>
    <r>
      <rPr>
        <i/>
        <sz val="10"/>
        <rFont val="Arial"/>
        <family val="2"/>
        <charset val="1"/>
      </rPr>
      <t>et</t>
    </r>
    <r>
      <rPr>
        <b/>
        <i/>
        <sz val="10"/>
        <rFont val="Arial"/>
        <family val="2"/>
        <charset val="1"/>
      </rPr>
      <t xml:space="preserve"> familiaux</t>
    </r>
    <r>
      <rPr>
        <i/>
        <sz val="10"/>
        <rFont val="Arial"/>
        <family val="2"/>
        <charset val="1"/>
      </rPr>
      <t xml:space="preserve"> ;</t>
    </r>
  </si>
  <si>
    <r>
      <t xml:space="preserve">- </t>
    </r>
    <r>
      <rPr>
        <i/>
        <sz val="10"/>
        <rFont val="Arial"/>
        <family val="2"/>
        <charset val="1"/>
      </rPr>
      <t xml:space="preserve">les </t>
    </r>
    <r>
      <rPr>
        <b/>
        <i/>
        <sz val="10"/>
        <rFont val="Arial"/>
        <family val="2"/>
        <charset val="1"/>
      </rPr>
      <t>accueillants familiaux</t>
    </r>
    <r>
      <rPr>
        <i/>
        <sz val="10"/>
        <rFont val="Arial"/>
        <family val="2"/>
        <charset val="1"/>
      </rPr>
      <t xml:space="preserve"> ;</t>
    </r>
  </si>
  <si>
    <r>
      <t xml:space="preserve">- </t>
    </r>
    <r>
      <rPr>
        <i/>
        <sz val="10"/>
        <rFont val="Arial"/>
        <family val="2"/>
        <charset val="1"/>
      </rPr>
      <t>les</t>
    </r>
    <r>
      <rPr>
        <b/>
        <i/>
        <sz val="10"/>
        <rFont val="Arial"/>
        <family val="2"/>
        <charset val="1"/>
      </rPr>
      <t xml:space="preserve"> agents de droit privé</t>
    </r>
    <r>
      <rPr>
        <i/>
        <sz val="10"/>
        <rFont val="Arial"/>
        <family val="2"/>
        <charset val="1"/>
      </rPr>
      <t xml:space="preserve"> recrutés dans le cadre d’un </t>
    </r>
    <r>
      <rPr>
        <b/>
        <i/>
        <sz val="10"/>
        <rFont val="Arial"/>
        <family val="2"/>
        <charset val="1"/>
      </rPr>
      <t>dispositif de résorption du chômage</t>
    </r>
    <r>
      <rPr>
        <i/>
        <sz val="10"/>
        <rFont val="Arial"/>
        <family val="2"/>
        <charset val="1"/>
      </rPr>
      <t xml:space="preserve"> (contrat dits «aidés ») ;</t>
    </r>
  </si>
  <si>
    <r>
      <t xml:space="preserve">- </t>
    </r>
    <r>
      <rPr>
        <i/>
        <sz val="10"/>
        <rFont val="Arial"/>
        <family val="2"/>
        <charset val="1"/>
      </rPr>
      <t>les</t>
    </r>
    <r>
      <rPr>
        <b/>
        <i/>
        <sz val="10"/>
        <rFont val="Arial"/>
        <family val="2"/>
        <charset val="1"/>
      </rPr>
      <t xml:space="preserve"> fonctionnaires</t>
    </r>
    <r>
      <rPr>
        <i/>
        <sz val="10"/>
        <rFont val="Arial"/>
        <family val="2"/>
        <charset val="1"/>
      </rPr>
      <t xml:space="preserve"> exerçant dans votre collectivité dans le cadre d’</t>
    </r>
    <r>
      <rPr>
        <b/>
        <i/>
        <sz val="10"/>
        <rFont val="Arial"/>
        <family val="2"/>
        <charset val="1"/>
      </rPr>
      <t>un cumul d’emplois</t>
    </r>
    <r>
      <rPr>
        <i/>
        <sz val="10"/>
        <rFont val="Arial"/>
        <family val="2"/>
        <charset val="1"/>
      </rPr>
      <t>.</t>
    </r>
  </si>
  <si>
    <r>
      <t xml:space="preserve">- les agents </t>
    </r>
    <r>
      <rPr>
        <b/>
        <sz val="10"/>
        <rFont val="Arial"/>
        <family val="2"/>
        <charset val="1"/>
      </rPr>
      <t>contractuels</t>
    </r>
    <r>
      <rPr>
        <sz val="10"/>
        <rFont val="Arial"/>
        <family val="2"/>
      </rPr>
      <t xml:space="preserve"> en congé </t>
    </r>
    <r>
      <rPr>
        <b/>
        <sz val="10"/>
        <rFont val="Arial"/>
        <family val="2"/>
        <charset val="1"/>
      </rPr>
      <t>sans traitement de toute nature</t>
    </r>
    <r>
      <rPr>
        <sz val="10"/>
        <rFont val="Arial"/>
        <family val="2"/>
      </rPr>
      <t>, y compris les agents en congé de maladie qui n’ont pas ou plus de droit à rémunération ;</t>
    </r>
  </si>
  <si>
    <r>
      <t xml:space="preserve">- </t>
    </r>
    <r>
      <rPr>
        <i/>
        <sz val="10"/>
        <rFont val="Arial"/>
        <family val="2"/>
        <charset val="1"/>
      </rPr>
      <t>les agents</t>
    </r>
    <r>
      <rPr>
        <b/>
        <i/>
        <sz val="10"/>
        <rFont val="Arial"/>
        <family val="2"/>
        <charset val="1"/>
      </rPr>
      <t xml:space="preserve"> contractuels</t>
    </r>
    <r>
      <rPr>
        <i/>
        <sz val="10"/>
        <rFont val="Arial"/>
        <family val="2"/>
        <charset val="1"/>
      </rPr>
      <t xml:space="preserve"> placés en congés de</t>
    </r>
    <r>
      <rPr>
        <b/>
        <i/>
        <sz val="10"/>
        <rFont val="Arial"/>
        <family val="2"/>
        <charset val="1"/>
      </rPr>
      <t xml:space="preserve"> fin d'activité</t>
    </r>
    <r>
      <rPr>
        <i/>
        <sz val="10"/>
        <rFont val="Arial"/>
        <family val="2"/>
        <charset val="1"/>
      </rPr>
      <t xml:space="preserve"> (CFA) ;</t>
    </r>
  </si>
  <si>
    <r>
      <t>- les</t>
    </r>
    <r>
      <rPr>
        <b/>
        <sz val="10"/>
        <rFont val="Arial"/>
        <family val="2"/>
        <charset val="1"/>
      </rPr>
      <t xml:space="preserve"> agent</t>
    </r>
    <r>
      <rPr>
        <sz val="10"/>
        <rFont val="Arial"/>
        <family val="2"/>
      </rPr>
      <t xml:space="preserve">s partis ou placés en congé </t>
    </r>
    <r>
      <rPr>
        <b/>
        <sz val="10"/>
        <rFont val="Arial"/>
        <family val="2"/>
        <charset val="1"/>
      </rPr>
      <t>sans traitement</t>
    </r>
    <r>
      <rPr>
        <sz val="10"/>
        <rFont val="Arial"/>
        <family val="2"/>
      </rPr>
      <t xml:space="preserve"> qui ont perçu  en </t>
    </r>
    <r>
      <rPr>
        <b/>
        <sz val="10"/>
        <rFont val="Arial"/>
        <family val="2"/>
        <charset val="1"/>
      </rPr>
      <t>décembre un rappel de traitement</t>
    </r>
    <r>
      <rPr>
        <sz val="10"/>
        <rFont val="Arial"/>
        <family val="2"/>
      </rPr>
      <t>.</t>
    </r>
  </si>
  <si>
    <r>
      <t>*</t>
    </r>
    <r>
      <rPr>
        <sz val="10"/>
        <rFont val="Arial"/>
        <family val="2"/>
      </rPr>
      <t xml:space="preserve"> par</t>
    </r>
    <r>
      <rPr>
        <b/>
        <sz val="10"/>
        <rFont val="Arial"/>
        <family val="2"/>
        <charset val="1"/>
      </rPr>
      <t xml:space="preserve"> filière </t>
    </r>
    <r>
      <rPr>
        <sz val="10"/>
        <rFont val="Arial"/>
        <family val="2"/>
      </rPr>
      <t>déclinée en</t>
    </r>
    <r>
      <rPr>
        <b/>
        <sz val="10"/>
        <rFont val="Arial"/>
        <family val="2"/>
        <charset val="1"/>
      </rPr>
      <t xml:space="preserve"> cadre d'emplois</t>
    </r>
    <r>
      <rPr>
        <sz val="10"/>
        <rFont val="Arial"/>
        <family val="2"/>
      </rPr>
      <t xml:space="preserve"> (en lignes)</t>
    </r>
  </si>
  <si>
    <r>
      <rPr>
        <i/>
        <sz val="10"/>
        <rFont val="Arial"/>
        <family val="2"/>
        <charset val="1"/>
      </rPr>
      <t xml:space="preserve">Les agents </t>
    </r>
    <r>
      <rPr>
        <b/>
        <i/>
        <sz val="10"/>
        <rFont val="Arial"/>
        <family val="2"/>
        <charset val="1"/>
      </rPr>
      <t>contractuels</t>
    </r>
    <r>
      <rPr>
        <i/>
        <sz val="10"/>
        <rFont val="Arial"/>
        <family val="2"/>
        <charset val="1"/>
      </rPr>
      <t xml:space="preserve">  occupant </t>
    </r>
    <r>
      <rPr>
        <i/>
        <u/>
        <sz val="10"/>
        <rFont val="Arial"/>
        <family val="2"/>
        <charset val="1"/>
      </rPr>
      <t>un emploi fonctionnel</t>
    </r>
    <r>
      <rPr>
        <i/>
        <sz val="10"/>
        <rFont val="Arial"/>
        <family val="2"/>
        <charset val="1"/>
      </rPr>
      <t xml:space="preserve"> au titre de l’article 47 de la loi du 26 janvier 1984 doivent être recensés uniquement dans les</t>
    </r>
    <r>
      <rPr>
        <b/>
        <i/>
        <sz val="10"/>
        <rFont val="Arial"/>
        <family val="2"/>
        <charset val="1"/>
      </rPr>
      <t xml:space="preserve"> cadres d'emplois auxquels ils sont assimilés</t>
    </r>
    <r>
      <rPr>
        <i/>
        <sz val="10"/>
        <rFont val="Arial"/>
        <family val="2"/>
        <charset val="1"/>
      </rPr>
      <t xml:space="preserve"> même s'ils ont déjà été comptabilisés dans l'indicateur 1.1.0.</t>
    </r>
  </si>
  <si>
    <r>
      <rPr>
        <sz val="10"/>
        <rFont val="Arial"/>
        <family val="2"/>
      </rPr>
      <t xml:space="preserve">* par </t>
    </r>
    <r>
      <rPr>
        <b/>
        <sz val="10"/>
        <rFont val="Arial"/>
        <family val="2"/>
        <charset val="1"/>
      </rPr>
      <t>type de contrats</t>
    </r>
    <r>
      <rPr>
        <sz val="10"/>
        <rFont val="Arial"/>
        <family val="2"/>
      </rPr>
      <t xml:space="preserve"> croisés, pour les agents en</t>
    </r>
    <r>
      <rPr>
        <b/>
        <sz val="10"/>
        <rFont val="Arial"/>
        <family val="2"/>
        <charset val="1"/>
      </rPr>
      <t xml:space="preserve"> CDD</t>
    </r>
    <r>
      <rPr>
        <sz val="10"/>
        <rFont val="Arial"/>
        <family val="2"/>
      </rPr>
      <t xml:space="preserve"> recrutés dans le cadre de l'</t>
    </r>
    <r>
      <rPr>
        <b/>
        <sz val="10"/>
        <rFont val="Arial"/>
        <family val="2"/>
        <charset val="1"/>
      </rPr>
      <t xml:space="preserve">article 3 de la loi statutaire n° 84-53 du 26 janvier 1984 </t>
    </r>
    <r>
      <rPr>
        <sz val="10"/>
        <rFont val="Arial"/>
        <family val="2"/>
      </rPr>
      <t>par la référence aux</t>
    </r>
    <r>
      <rPr>
        <b/>
        <sz val="10"/>
        <rFont val="Arial"/>
        <family val="2"/>
        <charset val="1"/>
      </rPr>
      <t xml:space="preserve"> cas de recrutement</t>
    </r>
    <r>
      <rPr>
        <sz val="10"/>
        <rFont val="Arial"/>
        <family val="2"/>
      </rPr>
      <t xml:space="preserve"> prévus par les articles 3-1, 3-2 et 3-3 de la loi précitée (en colonnes)</t>
    </r>
  </si>
  <si>
    <r>
      <t xml:space="preserve">- </t>
    </r>
    <r>
      <rPr>
        <u/>
        <sz val="10"/>
        <rFont val="Arial"/>
        <family val="2"/>
      </rPr>
      <t>colonne 1.2.1(2)</t>
    </r>
    <r>
      <rPr>
        <sz val="10"/>
        <rFont val="Arial"/>
        <family val="2"/>
      </rPr>
      <t xml:space="preserve"> : </t>
    </r>
    <r>
      <rPr>
        <b/>
        <sz val="10"/>
        <rFont val="Arial"/>
        <family val="2"/>
        <charset val="1"/>
      </rPr>
      <t>article 3-2</t>
    </r>
    <r>
      <rPr>
        <sz val="10"/>
        <rFont val="Arial"/>
        <family val="2"/>
      </rPr>
      <t xml:space="preserve"> : pour faire face à une </t>
    </r>
    <r>
      <rPr>
        <b/>
        <sz val="10"/>
        <rFont val="Arial"/>
        <family val="2"/>
        <charset val="1"/>
      </rPr>
      <t>vacance temporaire d'emploi</t>
    </r>
    <r>
      <rPr>
        <sz val="10"/>
        <rFont val="Arial"/>
        <family val="2"/>
      </rPr>
      <t xml:space="preserve"> dans l'attente du recrutement d'un fonctionnaire et pour une durée déterminée n'excédant pas un an.</t>
    </r>
  </si>
  <si>
    <r>
      <t>-</t>
    </r>
    <r>
      <rPr>
        <u/>
        <sz val="10"/>
        <rFont val="Arial"/>
        <family val="2"/>
      </rPr>
      <t xml:space="preserve"> colonne 1.2.1 (3) </t>
    </r>
    <r>
      <rPr>
        <sz val="10"/>
        <rFont val="Arial"/>
        <family val="2"/>
      </rPr>
      <t xml:space="preserve">: </t>
    </r>
    <r>
      <rPr>
        <b/>
        <sz val="10"/>
        <rFont val="Arial"/>
        <family val="2"/>
        <charset val="1"/>
      </rPr>
      <t>article 3-3, 1°</t>
    </r>
    <r>
      <rPr>
        <sz val="10"/>
        <rFont val="Arial"/>
        <family val="2"/>
      </rPr>
      <t xml:space="preserve"> : lorsqu'il n'existe </t>
    </r>
    <r>
      <rPr>
        <b/>
        <sz val="10"/>
        <rFont val="Arial"/>
        <family val="2"/>
        <charset val="1"/>
      </rPr>
      <t>pas de cadre d'emplois de fonctionnaires</t>
    </r>
    <r>
      <rPr>
        <sz val="10"/>
        <rFont val="Arial"/>
        <family val="2"/>
      </rPr>
      <t xml:space="preserve"> susceptibles d'assurer les fonctions correspondantes.</t>
    </r>
  </si>
  <si>
    <r>
      <t xml:space="preserve">- </t>
    </r>
    <r>
      <rPr>
        <u/>
        <sz val="10"/>
        <rFont val="Arial"/>
        <family val="2"/>
      </rPr>
      <t>colonne 1.2.1 (4)</t>
    </r>
    <r>
      <rPr>
        <sz val="10"/>
        <rFont val="Arial"/>
        <family val="2"/>
      </rPr>
      <t xml:space="preserve"> : </t>
    </r>
    <r>
      <rPr>
        <b/>
        <sz val="10"/>
        <rFont val="Arial"/>
        <family val="2"/>
        <charset val="1"/>
      </rPr>
      <t>article 3-3, 2°</t>
    </r>
    <r>
      <rPr>
        <sz val="10"/>
        <rFont val="Arial"/>
        <family val="2"/>
      </rPr>
      <t xml:space="preserve"> : pour les </t>
    </r>
    <r>
      <rPr>
        <b/>
        <sz val="10"/>
        <rFont val="Arial"/>
        <family val="2"/>
        <charset val="1"/>
      </rPr>
      <t>emplois du niveau de la catégorie A</t>
    </r>
    <r>
      <rPr>
        <sz val="10"/>
        <rFont val="Arial"/>
        <family val="2"/>
      </rPr>
      <t xml:space="preserve"> lorsque les</t>
    </r>
    <r>
      <rPr>
        <b/>
        <sz val="10"/>
        <rFont val="Arial"/>
        <family val="2"/>
        <charset val="1"/>
      </rPr>
      <t xml:space="preserve"> besoins des services </t>
    </r>
    <r>
      <rPr>
        <sz val="10"/>
        <rFont val="Arial"/>
        <family val="2"/>
      </rPr>
      <t>ou la nature des fonctions le justifient.</t>
    </r>
  </si>
  <si>
    <r>
      <t>-</t>
    </r>
    <r>
      <rPr>
        <u/>
        <sz val="10"/>
        <rFont val="Arial"/>
        <family val="2"/>
      </rPr>
      <t xml:space="preserve"> colonne 1.2.1 (5)</t>
    </r>
    <r>
      <rPr>
        <sz val="10"/>
        <rFont val="Arial"/>
        <family val="2"/>
      </rPr>
      <t xml:space="preserve"> : </t>
    </r>
    <r>
      <rPr>
        <b/>
        <sz val="10"/>
        <rFont val="Arial"/>
        <family val="2"/>
        <charset val="1"/>
      </rPr>
      <t>article 3-3, 3°</t>
    </r>
    <r>
      <rPr>
        <sz val="10"/>
        <rFont val="Arial"/>
        <family val="2"/>
      </rPr>
      <t xml:space="preserve"> : pour les emplois de </t>
    </r>
    <r>
      <rPr>
        <b/>
        <sz val="10"/>
        <rFont val="Arial"/>
        <family val="2"/>
        <charset val="1"/>
      </rPr>
      <t>secrétaire de mairie</t>
    </r>
    <r>
      <rPr>
        <sz val="10"/>
        <rFont val="Arial"/>
        <family val="2"/>
      </rPr>
      <t xml:space="preserve"> des communes et groupements de communes de </t>
    </r>
    <r>
      <rPr>
        <b/>
        <sz val="10"/>
        <rFont val="Arial"/>
        <family val="2"/>
        <charset val="1"/>
      </rPr>
      <t>moins de 1 000 habitants</t>
    </r>
  </si>
  <si>
    <r>
      <t xml:space="preserve">- </t>
    </r>
    <r>
      <rPr>
        <u/>
        <sz val="10"/>
        <rFont val="Arial"/>
        <family val="2"/>
      </rPr>
      <t>colonne 1.2.1 (6)</t>
    </r>
    <r>
      <rPr>
        <sz val="10"/>
        <rFont val="Arial"/>
        <family val="2"/>
      </rPr>
      <t xml:space="preserve"> : </t>
    </r>
    <r>
      <rPr>
        <b/>
        <sz val="10"/>
        <rFont val="Arial"/>
        <family val="2"/>
        <charset val="1"/>
      </rPr>
      <t xml:space="preserve">article 3-3, 4° </t>
    </r>
    <r>
      <rPr>
        <sz val="10"/>
        <rFont val="Arial"/>
        <family val="2"/>
      </rPr>
      <t>: pour les emplois à</t>
    </r>
    <r>
      <rPr>
        <b/>
        <sz val="10"/>
        <rFont val="Arial"/>
        <family val="2"/>
        <charset val="1"/>
      </rPr>
      <t xml:space="preserve"> temps non complet</t>
    </r>
    <r>
      <rPr>
        <sz val="10"/>
        <rFont val="Arial"/>
        <family val="2"/>
      </rPr>
      <t xml:space="preserve"> des communes et groupements de communes de</t>
    </r>
    <r>
      <rPr>
        <b/>
        <sz val="10"/>
        <rFont val="Arial"/>
        <family val="2"/>
        <charset val="1"/>
      </rPr>
      <t xml:space="preserve"> moins de 1 000 habitants</t>
    </r>
    <r>
      <rPr>
        <sz val="10"/>
        <rFont val="Arial"/>
        <family val="2"/>
      </rPr>
      <t>, lorsque l</t>
    </r>
    <r>
      <rPr>
        <b/>
        <sz val="10"/>
        <rFont val="Arial"/>
        <family val="2"/>
        <charset val="1"/>
      </rPr>
      <t>a quotité de temps de travail est inférieure à 50 %</t>
    </r>
    <r>
      <rPr>
        <sz val="10"/>
        <rFont val="Arial"/>
        <family val="2"/>
      </rPr>
      <t>.</t>
    </r>
  </si>
  <si>
    <r>
      <t>-</t>
    </r>
    <r>
      <rPr>
        <u/>
        <sz val="10"/>
        <rFont val="Arial"/>
        <family val="2"/>
        <charset val="1"/>
      </rPr>
      <t xml:space="preserve"> colonne 1.2.1 (7)</t>
    </r>
    <r>
      <rPr>
        <sz val="10"/>
        <rFont val="Arial"/>
        <family val="2"/>
      </rPr>
      <t xml:space="preserve"> : </t>
    </r>
    <r>
      <rPr>
        <b/>
        <sz val="10"/>
        <rFont val="Arial"/>
        <family val="2"/>
        <charset val="1"/>
      </rPr>
      <t xml:space="preserve">article 3-3, 5° </t>
    </r>
    <r>
      <rPr>
        <sz val="10"/>
        <rFont val="Arial"/>
        <family val="2"/>
      </rPr>
      <t>: pour les emplois des</t>
    </r>
    <r>
      <rPr>
        <b/>
        <sz val="10"/>
        <rFont val="Arial"/>
        <family val="2"/>
        <charset val="1"/>
      </rPr>
      <t xml:space="preserve"> communes de moins de 2 000 habitants</t>
    </r>
    <r>
      <rPr>
        <sz val="10"/>
        <rFont val="Arial"/>
        <family val="2"/>
      </rPr>
      <t xml:space="preserve"> et des </t>
    </r>
    <r>
      <rPr>
        <b/>
        <sz val="10"/>
        <rFont val="Arial"/>
        <family val="2"/>
        <charset val="1"/>
      </rPr>
      <t>groupements de communes de moins de 10 000 habitants</t>
    </r>
    <r>
      <rPr>
        <sz val="10"/>
        <rFont val="Arial"/>
        <family val="2"/>
      </rPr>
      <t xml:space="preserve"> dont la création ou la suppression dépend de la </t>
    </r>
    <r>
      <rPr>
        <b/>
        <sz val="10"/>
        <rFont val="Arial"/>
        <family val="2"/>
        <charset val="1"/>
      </rPr>
      <t>décision d'une autorité</t>
    </r>
    <r>
      <rPr>
        <sz val="10"/>
        <rFont val="Arial"/>
        <family val="2"/>
      </rPr>
      <t xml:space="preserve"> qui s'impose à la collectivité ou à l'établissement en matière de création, de changement de périmètre ou de suppression d'un service public.</t>
    </r>
  </si>
  <si>
    <t>Pour naissance ou adoption (3 jours), pour paternité et accueil de l'enfant (11 jours ou 18 jours en cas de naissance multiple), pour hospitalisation immédiate de l’enfant à la naissance (30 jours) et pour congé d’adoption (article 10 du décret n° 88-145 du 15 février 1988)</t>
  </si>
  <si>
    <t>2.1.4 - Congés de paternité et d'accueil de l'enfant des agents FONCTIONNAIRES ET CONTRACTUELS,
par catégorie hiérarchique</t>
  </si>
  <si>
    <t xml:space="preserve">Le fonctionnaire doit transmettre à l'autorité territoriale dont il relève un avis d'interruption de travail dans un délai de quarante-huit heures. En cas de manquement à cette obligation, l'autorité territoriale informe l'agent de la réduction de la rémunération à laquelle il s'expose en cas de nouvel envoi tardif dans une période de vingt-quatre mois.
Si, dans cette période, l'agent transmet de nouveau tardivement un avis d'interruption de travail, l'autorité territoriale est fondée à réduire de moitié sa rémunération entre la date de prescription de l'arrêt et la date effective d'envoi de l'avis d'arrêt de travail.
La réduction de la rémunération n'est pas applicable si le fonctionnaire est hospitalisé ou s'il justifie, dans le délai de huit jours, de son incapacité à transmettre l'avis d'interruption de travail dans le délai imparti (article 15 du décret n° 87-602 du 30 juillet 1987). </t>
  </si>
  <si>
    <t>un contrôle administratif des autorisations de cumul d’activités de l’agent placé en congé de maladie peut être effectué par l’employeur afin de s’assurer que l’activité exercée au titre du cumul est compatible avec l’état de santé ayant justifié le placement en congé de maladie</t>
  </si>
  <si>
    <r>
      <rPr>
        <sz val="10"/>
        <rFont val="Arial"/>
        <family val="2"/>
      </rPr>
      <t>* par</t>
    </r>
    <r>
      <rPr>
        <b/>
        <sz val="10"/>
        <rFont val="Arial"/>
        <family val="2"/>
        <charset val="1"/>
      </rPr>
      <t xml:space="preserve"> structures d’accueil (accueillantes)</t>
    </r>
    <r>
      <rPr>
        <sz val="10"/>
        <rFont val="Arial"/>
        <family val="2"/>
      </rPr>
      <t xml:space="preserve"> pour les fonctionnaires détachés dans une autre structure</t>
    </r>
    <r>
      <rPr>
        <b/>
        <sz val="10"/>
        <rFont val="Arial"/>
        <family val="2"/>
        <charset val="1"/>
      </rPr>
      <t xml:space="preserve"> </t>
    </r>
    <r>
      <rPr>
        <sz val="10"/>
        <rFont val="Arial"/>
        <family val="2"/>
      </rPr>
      <t>(en lignes)</t>
    </r>
  </si>
  <si>
    <t>- utilisés sous forme de jours de congés</t>
  </si>
  <si>
    <t xml:space="preserve">Exemples : </t>
  </si>
  <si>
    <t>- ces agents ne doivent pas avoir été recensés à l’indicateur 1.2.1.</t>
  </si>
  <si>
    <r>
      <rPr>
        <b/>
        <i/>
        <sz val="10"/>
        <color indexed="10"/>
        <rFont val="Arial"/>
        <family val="2"/>
      </rPr>
      <t>Remarques :</t>
    </r>
    <r>
      <rPr>
        <i/>
        <sz val="10"/>
        <color indexed="10"/>
        <rFont val="Arial"/>
        <family val="2"/>
      </rPr>
      <t xml:space="preserve"> </t>
    </r>
  </si>
  <si>
    <t>La base de calcul pour un agent à temps plein (35 heures), ayant été en activité toute l'année correspond au nombre total d'heures payées soit 1 820 heures pour une année.</t>
  </si>
  <si>
    <t>Les périodes d'activités rémunérées sont incluses dans cette base de calcul (congés, absence, etc...).</t>
  </si>
  <si>
    <t>Le nombre d'heures payées à prendre en compte pour un agent, est le nombre d'heures annuelles cumulées au dernier jour de l'année ou au dernier jour de travail de l'agent.</t>
  </si>
  <si>
    <r>
      <rPr>
        <b/>
        <i/>
        <sz val="9"/>
        <color indexed="10"/>
        <rFont val="Arial"/>
        <family val="2"/>
      </rPr>
      <t>Remarque importante :</t>
    </r>
    <r>
      <rPr>
        <i/>
        <sz val="9"/>
        <rFont val="Arial"/>
        <family val="2"/>
      </rPr>
      <t xml:space="preserve"> les agents recrutés sur des </t>
    </r>
    <r>
      <rPr>
        <i/>
        <u/>
        <sz val="9"/>
        <rFont val="Arial"/>
        <family val="2"/>
      </rPr>
      <t>emplois fonctionnels</t>
    </r>
    <r>
      <rPr>
        <i/>
        <sz val="9"/>
        <rFont val="Arial"/>
        <family val="2"/>
      </rPr>
      <t xml:space="preserve"> doivent être uniquement comptabilisés dans leurs</t>
    </r>
    <r>
      <rPr>
        <b/>
        <i/>
        <sz val="9"/>
        <rFont val="Arial"/>
        <family val="2"/>
      </rPr>
      <t xml:space="preserve"> cadres d'emplois d'origine</t>
    </r>
    <r>
      <rPr>
        <i/>
        <sz val="9"/>
        <rFont val="Arial"/>
        <family val="2"/>
      </rPr>
      <t>.</t>
    </r>
  </si>
  <si>
    <t>- si une personne a exercé au cours de plusieurs périodes distinctes, ne la compter qu’une fois dans les colonnes 1.3.1(1.3) ou 1.3.1(1.4) .</t>
  </si>
  <si>
    <t>CHEF DE SERVICE DE POLICE MUNICIPALE</t>
  </si>
  <si>
    <t>PC</t>
  </si>
  <si>
    <t>Chef de police municipale</t>
  </si>
  <si>
    <t>TPG4</t>
  </si>
  <si>
    <t>Brigadier-chef principal</t>
  </si>
  <si>
    <t>TPG3</t>
  </si>
  <si>
    <t>SPG1</t>
  </si>
  <si>
    <t>AGENTS DE POLICE MUNICIPALE</t>
  </si>
  <si>
    <t>PG</t>
  </si>
  <si>
    <t>Garde-champêtre chef principal</t>
  </si>
  <si>
    <t>TPH3</t>
  </si>
  <si>
    <t xml:space="preserve">Garde-champêtre chef </t>
  </si>
  <si>
    <t>TPH2</t>
  </si>
  <si>
    <t>GARDES-CHAMPÊTRES</t>
  </si>
  <si>
    <t>PH</t>
  </si>
  <si>
    <t>P</t>
  </si>
  <si>
    <t>FILIERE INCENDIE SECOURS</t>
  </si>
  <si>
    <t>Quelles sont les dépenses à recenser à l'indicateur 1.6.2 (1)?</t>
  </si>
  <si>
    <t>Les critères ne sont pas exclusifs : un agent peut être recensé dans plusieurs cases.</t>
  </si>
  <si>
    <t>Demandes</t>
  </si>
  <si>
    <t>Décisions</t>
  </si>
  <si>
    <t>Retraite pour invalidité</t>
  </si>
  <si>
    <t>Licenciement pour inaptitude physique</t>
  </si>
  <si>
    <t>Décisions d'accord d'aménagement d'horaire ou d'aménagement de poste de travail</t>
  </si>
  <si>
    <t xml:space="preserve">Mises en disponibilité d'office </t>
  </si>
  <si>
    <t>sexe/acte</t>
  </si>
  <si>
    <t>émanant du personnel avec arrêt de travail</t>
  </si>
  <si>
    <t>émanant du personnel
sans arrêt de travail</t>
  </si>
  <si>
    <t>émanant des usagers 
avec arrêt de travail</t>
  </si>
  <si>
    <t>émanant des usagers 
sans arrêt de travail</t>
  </si>
  <si>
    <t>Quels sont les jours à prendre en compte ?</t>
  </si>
  <si>
    <t>Qu’est-ce qu’une journée de formation ?</t>
  </si>
  <si>
    <t xml:space="preserve"> Exemple :</t>
  </si>
  <si>
    <t>Cat. A : formation prévue par les statuts particuliers</t>
  </si>
  <si>
    <t>Cat. C : formation de perfectionnement</t>
  </si>
  <si>
    <t>Cat. C : formation personnelle</t>
  </si>
  <si>
    <t>21 - Autre établissement public intercommunal</t>
  </si>
  <si>
    <t>*par exemple : fonction publique d'un Etat de l'Union européenne (FPEUE).</t>
  </si>
  <si>
    <t>MS : l’Institut national de veille sanitaire (INVS) définit les TMS comme « un ensemble d’affections péri-articulaires qui peuvent affecter diverses structures des membres supérieurs, inférieurs et du dos : tendons, muscles, articulations, nerfs et système vasculaire ». Ces troubles sont également appelés « pathologies d’hyper-sollicitation ». 
Un guide méthodologique, fondé sur un recueil de pratiques, vise à accompagner les employeurs publics dans la mise en place d’un dispositif de prévention des troubles musculo-squelettiques efficace et durable. Ce guide peut être téléchargé sur le site de la DGAFP : http://www.fonction-publique.gouv.fr/troubles-musculo-squelettiques-tms</t>
  </si>
  <si>
    <t>Si ce total n'est pas correct, vous pouvez le modifier</t>
  </si>
  <si>
    <t>Age25A29</t>
  </si>
  <si>
    <t>Age30A34</t>
  </si>
  <si>
    <t>Age35A39</t>
  </si>
  <si>
    <t>Age40A44</t>
  </si>
  <si>
    <t>Age45A49</t>
  </si>
  <si>
    <t>Age50A54</t>
  </si>
  <si>
    <t>Age55A59</t>
  </si>
  <si>
    <t>Age60A64</t>
  </si>
  <si>
    <t>Age65APlus</t>
  </si>
  <si>
    <t>3.1.1.4</t>
  </si>
  <si>
    <t xml:space="preserve">Assistants maternels </t>
  </si>
  <si>
    <t>3.4.2 - Indemnisation du chômage pour les contractuels</t>
  </si>
  <si>
    <r>
      <rPr>
        <sz val="10"/>
        <rFont val="Arial"/>
        <family val="2"/>
      </rPr>
      <t>L’indicateur 1.2.4. détaille les effectifs en ETPR</t>
    </r>
    <r>
      <rPr>
        <b/>
        <sz val="10"/>
        <rFont val="Arial"/>
        <family val="2"/>
      </rPr>
      <t xml:space="preserve"> (1 ETPR = 1 unité), </t>
    </r>
  </si>
  <si>
    <r>
      <rPr>
        <b/>
        <sz val="10"/>
        <color indexed="10"/>
        <rFont val="Arial"/>
        <family val="2"/>
      </rPr>
      <t>Définition :</t>
    </r>
    <r>
      <rPr>
        <sz val="10"/>
        <rFont val="Arial"/>
        <family val="2"/>
      </rPr>
      <t xml:space="preserve"> l'</t>
    </r>
    <r>
      <rPr>
        <b/>
        <sz val="10"/>
        <rFont val="Arial"/>
        <family val="2"/>
      </rPr>
      <t xml:space="preserve">Equivalent Temps Plein Rémunéré </t>
    </r>
    <r>
      <rPr>
        <sz val="10"/>
        <rFont val="Arial"/>
        <family val="2"/>
      </rPr>
      <t>(ETPR) est proportionnel à l'</t>
    </r>
    <r>
      <rPr>
        <b/>
        <sz val="10"/>
        <rFont val="Arial"/>
        <family val="2"/>
      </rPr>
      <t>activité d'un agent</t>
    </r>
    <r>
      <rPr>
        <sz val="10"/>
        <rFont val="Arial"/>
        <family val="2"/>
      </rPr>
      <t xml:space="preserve">, mesuré par sa </t>
    </r>
    <r>
      <rPr>
        <b/>
        <sz val="10"/>
        <rFont val="Arial"/>
        <family val="2"/>
      </rPr>
      <t>quotité de temps de travail</t>
    </r>
    <r>
      <rPr>
        <sz val="10"/>
        <rFont val="Arial"/>
        <family val="2"/>
      </rPr>
      <t xml:space="preserve"> et par sa </t>
    </r>
    <r>
      <rPr>
        <b/>
        <sz val="10"/>
        <rFont val="Arial"/>
        <family val="2"/>
      </rPr>
      <t>période d'activité</t>
    </r>
    <r>
      <rPr>
        <sz val="10"/>
        <rFont val="Arial"/>
        <family val="2"/>
      </rPr>
      <t xml:space="preserve"> sur l'année. Par contre, il </t>
    </r>
    <r>
      <rPr>
        <u/>
        <sz val="10"/>
        <rFont val="Arial"/>
        <family val="2"/>
      </rPr>
      <t xml:space="preserve">ne tient pas compte des heures supplémentaires et/ou complémentaires </t>
    </r>
    <r>
      <rPr>
        <sz val="10"/>
        <rFont val="Arial"/>
        <family val="2"/>
      </rPr>
      <t>effectuées par l'agent.</t>
    </r>
  </si>
  <si>
    <r>
      <rPr>
        <b/>
        <sz val="10"/>
        <color indexed="10"/>
        <rFont val="Arial"/>
        <family val="2"/>
      </rPr>
      <t>Ne pas remplir</t>
    </r>
    <r>
      <rPr>
        <b/>
        <sz val="10"/>
        <rFont val="Arial"/>
        <family val="2"/>
      </rPr>
      <t xml:space="preserve"> </t>
    </r>
    <r>
      <rPr>
        <sz val="10"/>
        <rFont val="Arial"/>
        <family val="2"/>
      </rPr>
      <t>les</t>
    </r>
    <r>
      <rPr>
        <b/>
        <sz val="10"/>
        <rFont val="Arial"/>
        <family val="2"/>
      </rPr>
      <t xml:space="preserve"> cellules grisées</t>
    </r>
    <r>
      <rPr>
        <sz val="10"/>
        <rFont val="Arial"/>
        <family val="2"/>
      </rPr>
      <t xml:space="preserve"> (pré remplies par un zéro)</t>
    </r>
    <r>
      <rPr>
        <b/>
        <sz val="10"/>
        <rFont val="Arial"/>
        <family val="2"/>
      </rPr>
      <t xml:space="preserve"> </t>
    </r>
    <r>
      <rPr>
        <sz val="10"/>
        <rFont val="Arial"/>
        <family val="2"/>
      </rPr>
      <t>qui font l’objet de</t>
    </r>
    <r>
      <rPr>
        <b/>
        <sz val="10"/>
        <rFont val="Arial"/>
        <family val="2"/>
      </rPr>
      <t xml:space="preserve"> calculs automatiques.</t>
    </r>
  </si>
  <si>
    <t>Assistant d'enseignement artistique principal de 1ère classe</t>
  </si>
  <si>
    <t>TCS3</t>
  </si>
  <si>
    <t xml:space="preserve">Assistant d'enseignement artistique principal de 2ème classe </t>
  </si>
  <si>
    <t>TCS2</t>
  </si>
  <si>
    <t>Assistant d'enseignement artistique principal de 2ème classe stagiaire</t>
  </si>
  <si>
    <t>Assistant d'enseignement artistique</t>
  </si>
  <si>
    <t>TCS1</t>
  </si>
  <si>
    <t>Assistant d'enseignement artistique stagiaire</t>
  </si>
  <si>
    <t>SCS1</t>
  </si>
  <si>
    <t>ASSISTANTS D'ENSEIGNEMENT ARTISTIQUE</t>
  </si>
  <si>
    <t>CS</t>
  </si>
  <si>
    <t>Adjoint territorial du patrimoine principal de 1ère classe</t>
  </si>
  <si>
    <t>TCJ4</t>
  </si>
  <si>
    <t>Adjoint territorial du patrimoine principal de 2ème classe</t>
  </si>
  <si>
    <t>TCJ3</t>
  </si>
  <si>
    <t>TCJ1</t>
  </si>
  <si>
    <t>SCJ1</t>
  </si>
  <si>
    <t>ADJOINTS TERRITORIAUX DU PATRIMOINE</t>
  </si>
  <si>
    <t>CJ</t>
  </si>
  <si>
    <t>C</t>
  </si>
  <si>
    <t>FILIERE SPORTIVE</t>
  </si>
  <si>
    <t>TSC2</t>
  </si>
  <si>
    <t xml:space="preserve">Conseiller </t>
  </si>
  <si>
    <t>TSC1</t>
  </si>
  <si>
    <t>Conseiller stagiaire</t>
  </si>
  <si>
    <t>SSC1</t>
  </si>
  <si>
    <t>CONSEILLERS DES APS</t>
  </si>
  <si>
    <t>SC</t>
  </si>
  <si>
    <t>Educateur principal de 1ère classe</t>
  </si>
  <si>
    <t>TSE3</t>
  </si>
  <si>
    <t>Educateur principal de 2ème classe</t>
  </si>
  <si>
    <t>TSE2</t>
  </si>
  <si>
    <t>Educateur principal stagiaire de 2ème classe</t>
  </si>
  <si>
    <t>SSE2</t>
  </si>
  <si>
    <t>Educateur</t>
  </si>
  <si>
    <t>TSE1</t>
  </si>
  <si>
    <t xml:space="preserve">  - IND 4.1.3 - Nombre de visites médicales sur demande de l'agent</t>
  </si>
  <si>
    <t xml:space="preserve">Cadres d'emplois
Filières
</t>
  </si>
  <si>
    <t>TECHNICIENS</t>
  </si>
  <si>
    <t>ATTACHES DE CONSERVATION DU PATRIMOINE</t>
  </si>
  <si>
    <t>DIRECTEURS  D'ETABLISSEMENTS D'ENSEIGNEMENT ARTISTIQUE</t>
  </si>
  <si>
    <t>ASSISTANTS  DE CONSERVATION DU PATRIMOINE ET DES BIBLIOTHEQUES</t>
  </si>
  <si>
    <t>MONITEURS-EDUCATEURS ET INTERVENANTS FAMILIAUX</t>
  </si>
  <si>
    <t>ASSISTANTS SPECIALISES DES ECOLES MATERNELLES</t>
  </si>
  <si>
    <t>PUERICULTRICES CADRES DE SANTE</t>
  </si>
  <si>
    <t>PUERICULTRICES *</t>
  </si>
  <si>
    <t>CADRES DE SANTE INFIRMIERS, REEDUCATEURS ET ASSISTANTS MEDICO-TECHNIQUES</t>
  </si>
  <si>
    <t>CHEFS DE SERVICE DE POLICE MUNICIPALE</t>
  </si>
  <si>
    <t>MÉDECINS, PHARMACIENS</t>
  </si>
  <si>
    <t>INFIRMIERS D'ENCADREMENT</t>
  </si>
  <si>
    <t>SOUS-OFFICIERS</t>
  </si>
  <si>
    <t>SAPEURS ET CAPORAUX</t>
  </si>
  <si>
    <t>ADJOINTS D'ANIMATION</t>
  </si>
  <si>
    <t>Puéricultrice hors classe</t>
  </si>
  <si>
    <t>TOU3</t>
  </si>
  <si>
    <t>TOU2</t>
  </si>
  <si>
    <t>TOU1</t>
  </si>
  <si>
    <t>SOU1</t>
  </si>
  <si>
    <t xml:space="preserve">PUERICULTRICES (décret n° 2014-923  du 18 août 2014) * </t>
  </si>
  <si>
    <t>OU</t>
  </si>
  <si>
    <t>Cadre de santé</t>
  </si>
  <si>
    <t>TOA1</t>
  </si>
  <si>
    <t xml:space="preserve">CADRES DE SANTE INFIRMIERS, REEDUCATEURS ET ASSISTANTS MEDICO-TECHNIQUES </t>
  </si>
  <si>
    <t>OA</t>
  </si>
  <si>
    <t>Infirmier en soins généraux hors classe</t>
  </si>
  <si>
    <t>TOB3</t>
  </si>
  <si>
    <t>Infirmier en soins généraux de classe supérieure</t>
  </si>
  <si>
    <t>TOB2</t>
  </si>
  <si>
    <t>Autres organismes</t>
  </si>
  <si>
    <t>CP</t>
  </si>
  <si>
    <t xml:space="preserve">Assistant de conservation principal de 1ère classe </t>
  </si>
  <si>
    <t>TCG3</t>
  </si>
  <si>
    <t xml:space="preserve">Assistant de conservation principal de 2ème classe </t>
  </si>
  <si>
    <t>TCG2</t>
  </si>
  <si>
    <r>
      <rPr>
        <b/>
        <i/>
        <sz val="9"/>
        <color indexed="10"/>
        <rFont val="Arial"/>
        <family val="2"/>
      </rPr>
      <t xml:space="preserve">Remarque importante </t>
    </r>
    <r>
      <rPr>
        <i/>
        <sz val="9"/>
        <color indexed="10"/>
        <rFont val="Arial"/>
        <family val="2"/>
      </rPr>
      <t>:</t>
    </r>
    <r>
      <rPr>
        <i/>
        <sz val="9"/>
        <rFont val="Arial"/>
        <family val="2"/>
      </rPr>
      <t xml:space="preserve"> les agents occupant un </t>
    </r>
    <r>
      <rPr>
        <i/>
        <u/>
        <sz val="9"/>
        <rFont val="Arial"/>
        <family val="2"/>
      </rPr>
      <t xml:space="preserve">emploi fonctionnel </t>
    </r>
    <r>
      <rPr>
        <i/>
        <sz val="9"/>
        <rFont val="Arial"/>
        <family val="2"/>
      </rPr>
      <t>doivent être uniquement comptabilisés dans leurs</t>
    </r>
    <r>
      <rPr>
        <b/>
        <i/>
        <sz val="9"/>
        <rFont val="Arial"/>
        <family val="2"/>
      </rPr>
      <t xml:space="preserve"> cadres d'emplois et grades respectifs</t>
    </r>
    <r>
      <rPr>
        <i/>
        <sz val="9"/>
        <rFont val="Arial"/>
        <family val="2"/>
      </rPr>
      <t>.</t>
    </r>
  </si>
  <si>
    <t xml:space="preserve">FONCTIONNAIRES </t>
  </si>
  <si>
    <t>3.1.1.1</t>
  </si>
  <si>
    <t>3.1.1.2</t>
  </si>
  <si>
    <t>3.2.1.1</t>
  </si>
  <si>
    <t>Montant total des
 rémunérations annuelles brutes</t>
  </si>
  <si>
    <t>3.4.1 - Indemnisation du chômage pour les titulaires</t>
  </si>
  <si>
    <t xml:space="preserve">  - IND 2.2.5 - Charte du temps</t>
  </si>
  <si>
    <t>IND 2.3.1</t>
  </si>
  <si>
    <t xml:space="preserve">  - IND 3.4.1 - Indemnisation du chômage pour les titulaires</t>
  </si>
  <si>
    <t>IND 5.1.3</t>
  </si>
  <si>
    <t>IND 6.1.4</t>
  </si>
  <si>
    <t>Comment sont calculées les unités déductibles à l'indicateur 1.6.2 (1)?</t>
  </si>
  <si>
    <t>Comment sont calculés les taux d'emploi à l'indicateur 1.6.2 (2)?</t>
  </si>
  <si>
    <t>Si oui, indiquez le nombre d'agents concernés :</t>
  </si>
  <si>
    <t>Titulaires et stagiaires</t>
  </si>
  <si>
    <t>Catégorie hiérarchique</t>
  </si>
  <si>
    <t>B</t>
  </si>
  <si>
    <t>MarchesEtablissementsTravailProtege</t>
  </si>
  <si>
    <t>MontantTotal</t>
  </si>
  <si>
    <r>
      <t>1.6.2 (1) -</t>
    </r>
    <r>
      <rPr>
        <b/>
        <strike/>
        <sz val="9"/>
        <rFont val="Arial"/>
        <family val="2"/>
      </rPr>
      <t xml:space="preserve"> </t>
    </r>
    <r>
      <rPr>
        <b/>
        <sz val="9"/>
        <rFont val="Arial"/>
        <family val="2"/>
      </rPr>
      <t xml:space="preserve"> Dépenses réalisées couvrant partiellement l'obligation d'emploi </t>
    </r>
  </si>
  <si>
    <t>Agents spécialisés des écoles maternelles</t>
  </si>
  <si>
    <t>5.1.4 - Coûts de formation</t>
  </si>
  <si>
    <t>6.1.1 - Réunions statutaires</t>
  </si>
  <si>
    <t>7.1.1 - Œuvres sociales</t>
  </si>
  <si>
    <t>7.1.2 - Prestations servies par la collectivité aux agents</t>
  </si>
  <si>
    <t>7.1.3 - Aides à la garde d'enfants</t>
  </si>
  <si>
    <r>
      <t xml:space="preserve">* </t>
    </r>
    <r>
      <rPr>
        <b/>
        <sz val="10"/>
        <rFont val="Arial"/>
        <family val="2"/>
        <charset val="1"/>
      </rPr>
      <t xml:space="preserve">les agents contractuels </t>
    </r>
  </si>
  <si>
    <r>
      <rPr>
        <sz val="10"/>
        <rFont val="Arial"/>
        <family val="2"/>
      </rPr>
      <t>*</t>
    </r>
    <r>
      <rPr>
        <b/>
        <sz val="10"/>
        <rFont val="Arial"/>
        <family val="2"/>
        <charset val="1"/>
      </rPr>
      <t xml:space="preserve"> occupant un emploi permanent </t>
    </r>
    <r>
      <rPr>
        <b/>
        <u/>
        <sz val="10"/>
        <rFont val="Arial"/>
        <family val="2"/>
        <charset val="1"/>
      </rPr>
      <t>à temps complet</t>
    </r>
    <r>
      <rPr>
        <b/>
        <sz val="10"/>
        <rFont val="Arial"/>
        <family val="2"/>
        <charset val="1"/>
      </rPr>
      <t xml:space="preserve">, </t>
    </r>
    <r>
      <rPr>
        <sz val="10"/>
        <rFont val="Arial"/>
        <family val="2"/>
      </rPr>
      <t>exerçant à</t>
    </r>
    <r>
      <rPr>
        <b/>
        <sz val="10"/>
        <rFont val="Arial"/>
        <family val="2"/>
        <charset val="1"/>
      </rPr>
      <t xml:space="preserve"> temps plein ou à temps partiel</t>
    </r>
  </si>
  <si>
    <r>
      <t xml:space="preserve">Remarque </t>
    </r>
    <r>
      <rPr>
        <b/>
        <sz val="10"/>
        <rFont val="Arial"/>
        <family val="2"/>
      </rPr>
      <t>:</t>
    </r>
    <r>
      <rPr>
        <sz val="10"/>
        <rFont val="Arial"/>
        <family val="2"/>
      </rPr>
      <t xml:space="preserve"> ces agents ont déjà été recensés pour l'indicateur 1.2.1. (colonne 1.2.1(10))</t>
    </r>
  </si>
  <si>
    <r>
      <t xml:space="preserve">* </t>
    </r>
    <r>
      <rPr>
        <sz val="10"/>
        <rFont val="Arial"/>
        <family val="2"/>
      </rPr>
      <t xml:space="preserve">par </t>
    </r>
    <r>
      <rPr>
        <b/>
        <sz val="10"/>
        <rFont val="Arial"/>
        <family val="2"/>
        <charset val="1"/>
      </rPr>
      <t xml:space="preserve">filière </t>
    </r>
    <r>
      <rPr>
        <sz val="10"/>
        <rFont val="Arial"/>
        <family val="2"/>
      </rPr>
      <t>déclinée en</t>
    </r>
    <r>
      <rPr>
        <b/>
        <sz val="10"/>
        <rFont val="Arial"/>
        <family val="2"/>
        <charset val="1"/>
      </rPr>
      <t xml:space="preserve"> cadres d'emplois </t>
    </r>
    <r>
      <rPr>
        <sz val="10"/>
        <rFont val="Arial"/>
        <family val="2"/>
      </rPr>
      <t>(en lignes)</t>
    </r>
  </si>
  <si>
    <r>
      <t xml:space="preserve">Les agents </t>
    </r>
    <r>
      <rPr>
        <b/>
        <i/>
        <sz val="10"/>
        <rFont val="Arial"/>
        <family val="2"/>
        <charset val="1"/>
      </rPr>
      <t>contractuels</t>
    </r>
    <r>
      <rPr>
        <i/>
        <sz val="10"/>
        <rFont val="Arial"/>
        <family val="2"/>
        <charset val="1"/>
      </rPr>
      <t xml:space="preserve">  occupant </t>
    </r>
    <r>
      <rPr>
        <i/>
        <u/>
        <sz val="10"/>
        <rFont val="Arial"/>
        <family val="2"/>
        <charset val="1"/>
      </rPr>
      <t>un emploi fonctionnel</t>
    </r>
    <r>
      <rPr>
        <i/>
        <sz val="10"/>
        <rFont val="Arial"/>
        <family val="2"/>
        <charset val="1"/>
      </rPr>
      <t xml:space="preserve"> au titre de l’article 47 de la loi du 26 janvier 1984 doivent être recensés uniquement dans les</t>
    </r>
    <r>
      <rPr>
        <b/>
        <i/>
        <sz val="10"/>
        <rFont val="Arial"/>
        <family val="2"/>
        <charset val="1"/>
      </rPr>
      <t xml:space="preserve"> cadres d'emplois auxquels ils sont assimilés</t>
    </r>
    <r>
      <rPr>
        <i/>
        <sz val="10"/>
        <rFont val="Arial"/>
        <family val="2"/>
        <charset val="1"/>
      </rPr>
      <t xml:space="preserve"> même s'ils ont déjà été comptabilisés dans l'indicateur 1.1.0.</t>
    </r>
  </si>
  <si>
    <r>
      <t xml:space="preserve">* </t>
    </r>
    <r>
      <rPr>
        <sz val="10"/>
        <rFont val="Arial"/>
        <family val="2"/>
      </rPr>
      <t xml:space="preserve">par </t>
    </r>
    <r>
      <rPr>
        <b/>
        <sz val="10"/>
        <rFont val="Arial"/>
        <family val="2"/>
        <charset val="1"/>
      </rPr>
      <t>quotité de temps de travail</t>
    </r>
    <r>
      <rPr>
        <sz val="10"/>
        <rFont val="Arial"/>
        <family val="2"/>
      </rPr>
      <t xml:space="preserve"> et par</t>
    </r>
    <r>
      <rPr>
        <b/>
        <sz val="10"/>
        <rFont val="Arial"/>
        <family val="2"/>
        <charset val="1"/>
      </rPr>
      <t xml:space="preserve"> sexe </t>
    </r>
    <r>
      <rPr>
        <sz val="10"/>
        <rFont val="Arial"/>
        <family val="2"/>
      </rPr>
      <t>(en colonnes)</t>
    </r>
  </si>
  <si>
    <r>
      <t xml:space="preserve">- colonnes 1.2.2(1) et 1.2.2(2) : </t>
    </r>
    <r>
      <rPr>
        <b/>
        <sz val="10"/>
        <rFont val="Arial"/>
        <family val="2"/>
        <charset val="1"/>
      </rPr>
      <t>temps plein</t>
    </r>
  </si>
  <si>
    <r>
      <t xml:space="preserve">- colonnes 1.2.2(3) à 1.2.2(8) : </t>
    </r>
    <r>
      <rPr>
        <b/>
        <sz val="10"/>
        <rFont val="Arial"/>
        <family val="2"/>
        <charset val="1"/>
      </rPr>
      <t>temps partiel</t>
    </r>
  </si>
  <si>
    <r>
      <t>Tous les contractuels à temps partiel sont à recenser</t>
    </r>
    <r>
      <rPr>
        <i/>
        <sz val="10"/>
        <rFont val="Arial"/>
        <family val="2"/>
        <charset val="1"/>
      </rPr>
      <t>, y compris les temps partiels de droit ou sur autorisation qui seront de nouveau décomptés à l’indicateur 1.2.3.</t>
    </r>
  </si>
  <si>
    <r>
      <t xml:space="preserve">La </t>
    </r>
    <r>
      <rPr>
        <b/>
        <i/>
        <sz val="10"/>
        <rFont val="Arial"/>
        <family val="2"/>
        <charset val="1"/>
      </rPr>
      <t>quotité de temps de travail</t>
    </r>
    <r>
      <rPr>
        <i/>
        <sz val="10"/>
        <rFont val="Arial"/>
        <family val="2"/>
        <charset val="1"/>
      </rPr>
      <t xml:space="preserve"> à prendre en compte est celle qui figure sur la </t>
    </r>
    <r>
      <rPr>
        <b/>
        <i/>
        <sz val="10"/>
        <rFont val="Arial"/>
        <family val="2"/>
        <charset val="1"/>
      </rPr>
      <t>décision individuelle d’autorisation d’exercice à temps partiel</t>
    </r>
    <r>
      <rPr>
        <i/>
        <sz val="10"/>
        <rFont val="Arial"/>
        <family val="2"/>
        <charset val="1"/>
      </rPr>
      <t>, calculée en base annuelle par rapport à la durée légale du temps de travail. Cette quotité peut donc être différente de la durée hebdomadaire de service effectivement travaillée. Elle est également différente de la quotité rémunérée dans le cas particulier des temps partiels à 80% et à 90%.</t>
    </r>
  </si>
  <si>
    <t>1.3.1 - 1.3.2 - Autres personnels</t>
  </si>
  <si>
    <r>
      <rPr>
        <sz val="10"/>
        <rFont val="Arial"/>
        <family val="2"/>
      </rPr>
      <t>Les</t>
    </r>
    <r>
      <rPr>
        <u/>
        <sz val="10"/>
        <rFont val="Arial"/>
        <family val="2"/>
        <charset val="1"/>
      </rPr>
      <t xml:space="preserve"> indicateurs 1.3.1(1) et 1.3.1(2)</t>
    </r>
    <r>
      <rPr>
        <sz val="10"/>
        <rFont val="Arial"/>
        <family val="2"/>
      </rPr>
      <t xml:space="preserve"> recensent, respectivement, les effectifs en nombre de personnes physiques</t>
    </r>
    <r>
      <rPr>
        <b/>
        <sz val="10"/>
        <rFont val="Arial"/>
        <family val="2"/>
        <charset val="1"/>
      </rPr>
      <t xml:space="preserve"> (1 personne = 1 unité) </t>
    </r>
    <r>
      <rPr>
        <sz val="10"/>
        <rFont val="Arial"/>
        <family val="2"/>
      </rPr>
      <t>et en équivalent temps plein rémunéré</t>
    </r>
    <r>
      <rPr>
        <b/>
        <sz val="10"/>
        <rFont val="Arial"/>
        <family val="2"/>
        <charset val="1"/>
      </rPr>
      <t xml:space="preserve"> (1 ETPR = 1 unité).</t>
    </r>
  </si>
  <si>
    <r>
      <rPr>
        <sz val="10"/>
        <rFont val="Arial"/>
        <family val="2"/>
      </rPr>
      <t xml:space="preserve">L' </t>
    </r>
    <r>
      <rPr>
        <u/>
        <sz val="10"/>
        <rFont val="Arial"/>
        <family val="2"/>
        <charset val="1"/>
      </rPr>
      <t>indicateur 1.3.2</t>
    </r>
    <r>
      <rPr>
        <sz val="10"/>
        <rFont val="Arial"/>
        <family val="2"/>
      </rPr>
      <t xml:space="preserve"> recense uniquement les effectifs en nombre de personnes physiques</t>
    </r>
    <r>
      <rPr>
        <b/>
        <sz val="10"/>
        <rFont val="Arial"/>
        <family val="2"/>
        <charset val="1"/>
      </rPr>
      <t xml:space="preserve"> (1 personne = 1 unité).</t>
    </r>
  </si>
  <si>
    <r>
      <t>Ne pas remplir</t>
    </r>
    <r>
      <rPr>
        <sz val="10"/>
        <rFont val="Arial"/>
        <family val="2"/>
      </rPr>
      <t xml:space="preserve"> les </t>
    </r>
    <r>
      <rPr>
        <b/>
        <sz val="10"/>
        <rFont val="Arial"/>
        <family val="2"/>
        <charset val="1"/>
      </rPr>
      <t xml:space="preserve">cellules grisées </t>
    </r>
    <r>
      <rPr>
        <sz val="10"/>
        <rFont val="Arial"/>
        <family val="2"/>
      </rPr>
      <t>(pré remplies par un zéro)</t>
    </r>
    <r>
      <rPr>
        <b/>
        <sz val="10"/>
        <rFont val="Arial"/>
        <family val="2"/>
        <charset val="1"/>
      </rPr>
      <t xml:space="preserve"> </t>
    </r>
    <r>
      <rPr>
        <sz val="10"/>
        <rFont val="Arial"/>
        <family val="2"/>
      </rPr>
      <t>qui font l’objet de</t>
    </r>
    <r>
      <rPr>
        <b/>
        <sz val="10"/>
        <rFont val="Arial"/>
        <family val="2"/>
        <charset val="1"/>
      </rPr>
      <t xml:space="preserve"> calculs automatiques.</t>
    </r>
  </si>
  <si>
    <t>Quels sont les agents à recenser à l'indicateur 1.3.1 ?</t>
  </si>
  <si>
    <r>
      <t>*</t>
    </r>
    <r>
      <rPr>
        <sz val="10"/>
        <rFont val="Arial"/>
        <family val="2"/>
      </rPr>
      <t xml:space="preserve"> les </t>
    </r>
    <r>
      <rPr>
        <b/>
        <sz val="10"/>
        <rFont val="Arial"/>
        <family val="2"/>
        <charset val="1"/>
      </rPr>
      <t>contractuels</t>
    </r>
  </si>
  <si>
    <r>
      <rPr>
        <sz val="10"/>
        <rFont val="Arial"/>
        <family val="2"/>
      </rPr>
      <t xml:space="preserve">* </t>
    </r>
    <r>
      <rPr>
        <b/>
        <sz val="10"/>
        <rFont val="Arial"/>
        <family val="2"/>
        <charset val="1"/>
      </rPr>
      <t xml:space="preserve"> </t>
    </r>
    <r>
      <rPr>
        <sz val="10"/>
        <rFont val="Arial"/>
        <family val="2"/>
      </rPr>
      <t>recrutés sur un</t>
    </r>
    <r>
      <rPr>
        <b/>
        <sz val="10"/>
        <rFont val="Arial"/>
        <family val="2"/>
        <charset val="1"/>
      </rPr>
      <t xml:space="preserve"> emploi </t>
    </r>
    <r>
      <rPr>
        <b/>
        <u/>
        <sz val="10"/>
        <rFont val="Arial"/>
        <family val="2"/>
        <charset val="1"/>
      </rPr>
      <t>NON permanent</t>
    </r>
  </si>
  <si>
    <r>
      <t>Remarques :</t>
    </r>
    <r>
      <rPr>
        <sz val="10"/>
        <color indexed="45"/>
        <rFont val="Arial"/>
        <family val="2"/>
        <charset val="1"/>
      </rPr>
      <t/>
    </r>
  </si>
  <si>
    <r>
      <t xml:space="preserve">- il s'agit, ici, de recenser les </t>
    </r>
    <r>
      <rPr>
        <b/>
        <sz val="10"/>
        <rFont val="Arial"/>
        <family val="2"/>
        <charset val="1"/>
      </rPr>
      <t>agents contractuels NON recensés à l'indicateur 1.2.1</t>
    </r>
    <r>
      <rPr>
        <sz val="10"/>
        <rFont val="Arial"/>
        <family val="2"/>
      </rPr>
      <t>, qu'ils soient de droit public ou de droit privé.</t>
    </r>
  </si>
  <si>
    <r>
      <rPr>
        <sz val="10"/>
        <rFont val="Arial"/>
        <family val="2"/>
      </rPr>
      <t>* par</t>
    </r>
    <r>
      <rPr>
        <b/>
        <sz val="10"/>
        <rFont val="Arial"/>
        <family val="2"/>
        <charset val="1"/>
      </rPr>
      <t xml:space="preserve"> nature d’emploi « non permanent » </t>
    </r>
    <r>
      <rPr>
        <sz val="10"/>
        <rFont val="Arial"/>
        <family val="2"/>
      </rPr>
      <t xml:space="preserve">(en ligne) </t>
    </r>
  </si>
  <si>
    <r>
      <t>- collaborateurs de cabinet</t>
    </r>
    <r>
      <rPr>
        <sz val="10"/>
        <rFont val="Arial"/>
        <family val="2"/>
      </rPr>
      <t xml:space="preserve"> : article 110 de la loi du 26 janvier 1984</t>
    </r>
  </si>
  <si>
    <t>- assistants maternels</t>
  </si>
  <si>
    <r>
      <t>- assistants familiaux</t>
    </r>
    <r>
      <rPr>
        <sz val="10"/>
        <rFont val="Arial"/>
        <family val="2"/>
      </rPr>
      <t xml:space="preserve"> : arrêté du 10 juillet 2008, agréé d'avenant n° 305 du 20 mars 2007 relatif aux assistants familiaux, travaillant dans les centres ou services d'accueil familial ou de placement familial spécialisé</t>
    </r>
  </si>
  <si>
    <r>
      <t>- accueillants familiaux</t>
    </r>
    <r>
      <rPr>
        <sz val="10"/>
        <rFont val="Arial"/>
        <family val="2"/>
      </rPr>
      <t xml:space="preserve"> : article 57 de la loi DALO du 5 mars 2007 ; décret d’application n° 2010-928 du 3 août 2010</t>
    </r>
  </si>
  <si>
    <r>
      <t xml:space="preserve">- agents contractuels </t>
    </r>
    <r>
      <rPr>
        <sz val="10"/>
        <rFont val="Arial"/>
        <family val="2"/>
      </rPr>
      <t>recrutés pour faire face à un besoin lié à un</t>
    </r>
    <r>
      <rPr>
        <b/>
        <sz val="10"/>
        <rFont val="Arial"/>
        <family val="2"/>
        <charset val="1"/>
      </rPr>
      <t xml:space="preserve"> accroissement temporaire ou saisonnier d'activité </t>
    </r>
    <r>
      <rPr>
        <sz val="10"/>
        <rFont val="Arial"/>
        <family val="2"/>
      </rPr>
      <t>: article 3 de la loi n° 84-53 du 26 janvier 1984</t>
    </r>
  </si>
  <si>
    <r>
      <t>-</t>
    </r>
    <r>
      <rPr>
        <sz val="10"/>
        <rFont val="Arial"/>
        <family val="2"/>
      </rPr>
      <t xml:space="preserve"> personnes ayant bénéficié d'un</t>
    </r>
    <r>
      <rPr>
        <b/>
        <sz val="10"/>
        <rFont val="Arial"/>
        <family val="2"/>
        <charset val="1"/>
      </rPr>
      <t xml:space="preserve"> emploi aidé</t>
    </r>
    <r>
      <rPr>
        <b/>
        <sz val="10"/>
        <color indexed="30"/>
        <rFont val="Arial"/>
        <family val="2"/>
        <charset val="1"/>
      </rPr>
      <t/>
    </r>
  </si>
  <si>
    <r>
      <t xml:space="preserve">- contractuels </t>
    </r>
    <r>
      <rPr>
        <sz val="10"/>
        <rFont val="Arial"/>
        <family val="2"/>
      </rPr>
      <t>employés par les</t>
    </r>
    <r>
      <rPr>
        <sz val="10"/>
        <rFont val="Arial"/>
        <family val="2"/>
      </rPr>
      <t xml:space="preserve"> CDG </t>
    </r>
    <r>
      <rPr>
        <sz val="10"/>
        <rFont val="Arial"/>
        <family val="2"/>
      </rPr>
      <t>et</t>
    </r>
    <r>
      <rPr>
        <sz val="10"/>
        <rFont val="Arial"/>
        <family val="2"/>
      </rPr>
      <t xml:space="preserve"> mis à disposition </t>
    </r>
    <r>
      <rPr>
        <sz val="10"/>
        <rFont val="Arial"/>
        <family val="2"/>
      </rPr>
      <t>des collectivités (concernent</t>
    </r>
    <r>
      <rPr>
        <u/>
        <sz val="10"/>
        <rFont val="Arial"/>
        <family val="2"/>
        <charset val="1"/>
      </rPr>
      <t xml:space="preserve"> </t>
    </r>
    <r>
      <rPr>
        <u/>
        <sz val="10"/>
        <rFont val="Arial"/>
        <family val="2"/>
        <charset val="1"/>
      </rPr>
      <t>uniquement les CDG</t>
    </r>
    <r>
      <rPr>
        <sz val="10"/>
        <rFont val="Arial"/>
        <family val="2"/>
      </rPr>
      <t>)</t>
    </r>
  </si>
  <si>
    <t>- apprentis</t>
  </si>
  <si>
    <r>
      <t>-</t>
    </r>
    <r>
      <rPr>
        <sz val="10"/>
        <rFont val="Arial"/>
        <family val="2"/>
      </rPr>
      <t xml:space="preserve"> personnes bénéficiant d'une </t>
    </r>
    <r>
      <rPr>
        <b/>
        <sz val="10"/>
        <rFont val="Arial"/>
        <family val="2"/>
        <charset val="1"/>
      </rPr>
      <t>rémunération accessoire</t>
    </r>
    <r>
      <rPr>
        <sz val="10"/>
        <rFont val="Arial"/>
        <family val="2"/>
      </rPr>
      <t xml:space="preserve"> autorisée par la réglementation sur le cumul des emplois</t>
    </r>
  </si>
  <si>
    <r>
      <t>- vacataires</t>
    </r>
    <r>
      <rPr>
        <sz val="10"/>
        <rFont val="Arial"/>
        <family val="2"/>
      </rPr>
      <t>, hors jury de concours</t>
    </r>
  </si>
  <si>
    <r>
      <t xml:space="preserve">- </t>
    </r>
    <r>
      <rPr>
        <b/>
        <sz val="10"/>
        <rFont val="Arial"/>
        <family val="2"/>
      </rPr>
      <t>autres</t>
    </r>
    <r>
      <rPr>
        <sz val="10"/>
        <rFont val="Arial"/>
        <family val="2"/>
      </rPr>
      <t xml:space="preserve"> (agents non classables dans les catégories précédentes) : par exemple, les intermittents du spectacle, les vacataires, etc. Non compris les élus et comptables publics.</t>
    </r>
  </si>
  <si>
    <r>
      <t>Pour l'indicateur 1.3.1(1</t>
    </r>
    <r>
      <rPr>
        <u/>
        <sz val="10"/>
        <rFont val="Arial"/>
        <family val="2"/>
        <charset val="1"/>
      </rPr>
      <t>)</t>
    </r>
    <r>
      <rPr>
        <sz val="10"/>
        <rFont val="Arial"/>
        <family val="2"/>
      </rPr>
      <t xml:space="preserve"> : </t>
    </r>
  </si>
  <si>
    <t>Quels sont les agents à recenser à l'indicateur 1.3.2 ?</t>
  </si>
  <si>
    <r>
      <rPr>
        <sz val="10"/>
        <rFont val="Arial"/>
        <family val="2"/>
      </rPr>
      <t xml:space="preserve">* les personnes de droit public ou privé qui sont dans le cadre d'une </t>
    </r>
    <r>
      <rPr>
        <b/>
        <sz val="10"/>
        <rFont val="Arial"/>
        <family val="2"/>
        <charset val="1"/>
      </rPr>
      <t>mission temporaire</t>
    </r>
  </si>
  <si>
    <r>
      <rPr>
        <sz val="10"/>
        <rFont val="Arial"/>
        <family val="2"/>
      </rPr>
      <t>*</t>
    </r>
    <r>
      <rPr>
        <b/>
        <sz val="10"/>
        <rFont val="Arial"/>
        <family val="2"/>
        <charset val="1"/>
      </rPr>
      <t xml:space="preserve"> mises à disposition</t>
    </r>
    <r>
      <rPr>
        <sz val="10"/>
        <rFont val="Arial"/>
        <family val="2"/>
      </rPr>
      <t xml:space="preserve"> par les </t>
    </r>
    <r>
      <rPr>
        <b/>
        <sz val="10"/>
        <rFont val="Arial"/>
        <family val="2"/>
        <charset val="1"/>
      </rPr>
      <t>CDG</t>
    </r>
  </si>
  <si>
    <r>
      <rPr>
        <sz val="10"/>
        <rFont val="Arial"/>
        <family val="2"/>
      </rPr>
      <t xml:space="preserve">* ou </t>
    </r>
    <r>
      <rPr>
        <b/>
        <sz val="10"/>
        <rFont val="Arial"/>
        <family val="2"/>
        <charset val="1"/>
      </rPr>
      <t>intérimaires</t>
    </r>
  </si>
  <si>
    <t>Enfin, la loi n° 2019-828 du 6 août 2019 de transformation de la fonction publique a introduit un nouveau cas de non application du jour de carence en cas de congé de maladie accordé après la déclaration de grossesse et avant le début du congé de maternité.</t>
  </si>
  <si>
    <t>Modalités de contrôle des arrêts de maladie</t>
  </si>
  <si>
    <r>
      <t>L</t>
    </r>
    <r>
      <rPr>
        <b/>
        <sz val="10"/>
        <rFont val="Arial"/>
        <family val="2"/>
      </rPr>
      <t>’indicateur 2.2.7</t>
    </r>
    <r>
      <rPr>
        <sz val="10"/>
        <rFont val="Arial"/>
        <family val="2"/>
      </rPr>
      <t xml:space="preserve"> recense les </t>
    </r>
    <r>
      <rPr>
        <b/>
        <sz val="10"/>
        <rFont val="Arial"/>
        <family val="2"/>
      </rPr>
      <t>modalités de contrôle des arrêts de maladie</t>
    </r>
    <r>
      <rPr>
        <sz val="10"/>
        <rFont val="Arial"/>
        <family val="2"/>
      </rPr>
      <t xml:space="preserve"> telles que rappelées par la circulaire du 31 mars 2017 relative au renforcement de la politique de prévention et de contrôle des absences pour raison de santé dans la fonction publique.</t>
    </r>
  </si>
  <si>
    <t>L’indicateur 2.2.7 recense les modalités de contrôle des arrêts de maladie telles que rappelées par la circulaire du 31 mars 2017 relative au renforcement de la politique de prévention et de contrôle des absences pour raison de santé dans la fonction publique.</t>
  </si>
  <si>
    <t>Précisions</t>
  </si>
  <si>
    <t>Formation obligatoire des membres du comité d'hygiène, de sécurité et des conditions de travail</t>
  </si>
  <si>
    <t xml:space="preserve">Formation dans le cadre des habilitations </t>
  </si>
  <si>
    <t>Dépenses relatives aux interventions en matière de prévention et de sécurité (*)</t>
  </si>
  <si>
    <t>Contractuels
(assimilés aux cadres d'emplois)</t>
  </si>
  <si>
    <t>E2</t>
  </si>
  <si>
    <t>Avez-vous, parmi vos agents sur emploi permanent à temps complet, des agents concernés par des cycles de travail délibérés avant le 1er janvier 2002 ?</t>
  </si>
  <si>
    <t>Avez-vous, parmi vos agents sur emploi permanent à temps complet, des agents liés à des sujétions qui induisent une diminution du temps de travail ?</t>
  </si>
  <si>
    <t>Nombre de signalements au DRH pour harcelement sexuel</t>
  </si>
  <si>
    <t>. Congé spécial</t>
  </si>
  <si>
    <t xml:space="preserve">  - IND 1.5.7 - Nombre d'agents (fonctionnaires et contractuels sur emploi permanent) ayant bénéficié d'un accompagnement par un conseiller en évolution professionnelle</t>
  </si>
  <si>
    <t>Sous-Total</t>
  </si>
  <si>
    <t>* Comptabiliser les puéricultrices du cadre d'emplois du décret n° 92-859 du 28 août 1992 modifié et du cadre d'emplois du décret n° 2014-923 du 18 août 2014</t>
  </si>
  <si>
    <t>heure</t>
  </si>
  <si>
    <t>Fiche 1.1.2</t>
  </si>
  <si>
    <t>IND 1.1.2</t>
  </si>
  <si>
    <t>Fiche 1.1.3</t>
  </si>
  <si>
    <t>IND 1.1.3</t>
  </si>
  <si>
    <t>IND 1.1.4</t>
  </si>
  <si>
    <t>Fiche 1.2.1</t>
  </si>
  <si>
    <t>Fiche 1.2.2</t>
  </si>
  <si>
    <t>IND 1.2.2</t>
  </si>
  <si>
    <t>Fiche 1.2.3</t>
  </si>
  <si>
    <t>IND 1.2.3</t>
  </si>
  <si>
    <t>IND 1.2.4</t>
  </si>
  <si>
    <t>Fiche 1.3.1 - 1.3.2 - Autres personnels</t>
  </si>
  <si>
    <t>Fiche 1.3.1-1.3.2</t>
  </si>
  <si>
    <t>IND 1.3.1</t>
  </si>
  <si>
    <t>IND 1.3.2</t>
  </si>
  <si>
    <t>Salaire brut moyen des hommes
(en ETPR)</t>
  </si>
  <si>
    <t>Salaire brut moyen des femmes
(en ETPR)</t>
  </si>
  <si>
    <t xml:space="preserve">  - IND 8.1.0 - Ecart de rémunération hommes-femmes</t>
  </si>
  <si>
    <t>IND 8.1.0</t>
  </si>
  <si>
    <t>8.1 - Ecarts de rémunération hommes-femmes</t>
  </si>
  <si>
    <r>
      <t>2.3.1.1 il s'agit du nombre de demandes présentées et non du nombre d'agents ayant présenté des demandes au cours de l'année.</t>
    </r>
    <r>
      <rPr>
        <sz val="10"/>
        <rFont val="Arial"/>
        <family val="2"/>
      </rPr>
      <t xml:space="preserve"> (Un agent peut avoir déposé deux demandes au cours de la même année.)</t>
    </r>
  </si>
  <si>
    <r>
      <t xml:space="preserve">2.3.1.2 il s'agit du nombre de demandes acceptées et non du nombre d'agents ayant présenté des demandes au cours de l'année. </t>
    </r>
    <r>
      <rPr>
        <sz val="10"/>
        <rFont val="Arial"/>
        <family val="2"/>
      </rPr>
      <t>(Un agent peut avoir déposé deux demandes au cours de la même année.)</t>
    </r>
  </si>
  <si>
    <r>
      <t xml:space="preserve">2.3.1.4 il s'agit du nombre de modifications présentées par des agents occupant un emploi permanent à temps complet </t>
    </r>
    <r>
      <rPr>
        <sz val="10"/>
        <rFont val="Arial"/>
        <family val="2"/>
      </rPr>
      <t>et exerçant leurs fonctions à temps partiel qui, lors de leur demande de renouvellement modifient la quotité du temps de travail par rapport à la période précédente.
Ne pas prendre en compte les retours au temps plein.</t>
    </r>
  </si>
  <si>
    <t>En auto-assurance sans convention de gestion avec Pôle Emploi</t>
  </si>
  <si>
    <t>En auto-assurance avec convention de gestion avec Pôle Emploi</t>
  </si>
  <si>
    <t>Êtes en auto-assurance sans convention de gestion avec Pôle Emploi</t>
  </si>
  <si>
    <t>Êtes en auto-assurance avec convention de gestion avec Pôle Emploi</t>
  </si>
  <si>
    <t>(*) Chèques vacances, restauration, aide à la famille, subventions pour séjours d'enfants, prestation pour enfant en situation de handicap, autres…</t>
  </si>
  <si>
    <t xml:space="preserve">     Si oui, précisez (50 caractères au maximum) : </t>
  </si>
  <si>
    <t xml:space="preserve">  - IND 2.1.0 - Nombre de journées de congés supplémentaires accordées à l'ensemble des agents</t>
  </si>
  <si>
    <t>2.1.0 - Nombre de journées de congés supplémentaires accordées à l'ensemble des agents</t>
  </si>
  <si>
    <t>Animateur stagiaire</t>
  </si>
  <si>
    <r>
      <rPr>
        <b/>
        <i/>
        <sz val="9"/>
        <color indexed="10"/>
        <rFont val="Arial"/>
        <family val="2"/>
      </rPr>
      <t>Remarque :</t>
    </r>
    <r>
      <rPr>
        <b/>
        <i/>
        <sz val="9"/>
        <rFont val="Arial"/>
        <family val="2"/>
      </rPr>
      <t xml:space="preserve"> </t>
    </r>
    <r>
      <rPr>
        <i/>
        <sz val="9"/>
        <rFont val="Arial"/>
        <family val="2"/>
      </rPr>
      <t>si un agent a été</t>
    </r>
    <r>
      <rPr>
        <i/>
        <u/>
        <sz val="9"/>
        <rFont val="Arial"/>
        <family val="2"/>
      </rPr>
      <t xml:space="preserve"> absent sur plusieurs périodes</t>
    </r>
    <r>
      <rPr>
        <i/>
        <sz val="9"/>
        <rFont val="Arial"/>
        <family val="2"/>
      </rPr>
      <t xml:space="preserve"> dans l'année, ne le compter qu'une seule fois.</t>
    </r>
  </si>
  <si>
    <t>IND 2.1.4-2.1.6</t>
  </si>
  <si>
    <t>IND 2.1.7</t>
  </si>
  <si>
    <r>
      <rPr>
        <sz val="10"/>
        <rFont val="Arial"/>
        <family val="2"/>
      </rPr>
      <t>*  par</t>
    </r>
    <r>
      <rPr>
        <b/>
        <sz val="10"/>
        <rFont val="Arial"/>
        <family val="2"/>
        <charset val="1"/>
      </rPr>
      <t xml:space="preserve"> nature d’emploi « non permanent »</t>
    </r>
    <r>
      <rPr>
        <sz val="10"/>
        <rFont val="Arial"/>
        <family val="2"/>
      </rPr>
      <t xml:space="preserve"> (décliné par filière pour le personnel mis à disposition par les CDG ; en lignes) </t>
    </r>
  </si>
  <si>
    <r>
      <t xml:space="preserve">- </t>
    </r>
    <r>
      <rPr>
        <sz val="10"/>
        <rFont val="Arial"/>
        <family val="2"/>
      </rPr>
      <t>personnes employées comme</t>
    </r>
    <r>
      <rPr>
        <b/>
        <sz val="10"/>
        <rFont val="Arial"/>
        <family val="2"/>
        <charset val="1"/>
      </rPr>
      <t xml:space="preserve"> personnels remplaçants mis à disposition par le centre de gestion </t>
    </r>
    <r>
      <rPr>
        <sz val="10"/>
        <rFont val="Arial"/>
        <family val="2"/>
      </rPr>
      <t>(par filière)</t>
    </r>
  </si>
  <si>
    <r>
      <t xml:space="preserve">- </t>
    </r>
    <r>
      <rPr>
        <sz val="10"/>
        <rFont val="Arial"/>
        <family val="2"/>
      </rPr>
      <t>personnes employées dans le cadre du</t>
    </r>
    <r>
      <rPr>
        <b/>
        <sz val="10"/>
        <rFont val="Arial"/>
        <family val="2"/>
        <charset val="1"/>
      </rPr>
      <t xml:space="preserve"> recours au service des entreprises</t>
    </r>
    <r>
      <rPr>
        <sz val="10"/>
        <rFont val="Arial"/>
        <family val="2"/>
      </rPr>
      <t xml:space="preserve"> mentionnées à l’article L. 1251-1 du code du travail (intérim) en référence à l’article 3-7 de la loi n° 84-53 du 26 janvier 1984</t>
    </r>
  </si>
  <si>
    <r>
      <t>- si une personne a exercé sur</t>
    </r>
    <r>
      <rPr>
        <b/>
        <sz val="10"/>
        <rFont val="Arial"/>
        <family val="2"/>
        <charset val="1"/>
      </rPr>
      <t xml:space="preserve"> plusieurs périodes distinctes </t>
    </r>
    <r>
      <rPr>
        <sz val="10"/>
        <rFont val="Arial"/>
        <family val="2"/>
      </rPr>
      <t>au cours de l'année, il ne faut la compter qu’</t>
    </r>
    <r>
      <rPr>
        <b/>
        <sz val="10"/>
        <rFont val="Arial"/>
        <family val="2"/>
        <charset val="1"/>
      </rPr>
      <t xml:space="preserve">une fois </t>
    </r>
    <r>
      <rPr>
        <sz val="10"/>
        <rFont val="Arial"/>
        <family val="2"/>
      </rPr>
      <t xml:space="preserve">dans les colonnes 1.3.2(3) ou1.3.2(4).  </t>
    </r>
  </si>
  <si>
    <r>
      <rPr>
        <sz val="10"/>
        <rFont val="Arial"/>
        <family val="2"/>
      </rPr>
      <t>Les indicateurs de 1.4.1 à 1.4.2 recensent les effectifs en nombre de personnes physiques</t>
    </r>
    <r>
      <rPr>
        <b/>
        <sz val="10"/>
        <rFont val="Arial"/>
        <family val="2"/>
        <charset val="1"/>
      </rPr>
      <t xml:space="preserve"> (1 personne = 1 unité).</t>
    </r>
  </si>
  <si>
    <r>
      <rPr>
        <sz val="10"/>
        <rFont val="Arial"/>
        <family val="2"/>
      </rPr>
      <t xml:space="preserve">* les </t>
    </r>
    <r>
      <rPr>
        <b/>
        <sz val="10"/>
        <rFont val="Arial"/>
        <family val="2"/>
        <charset val="1"/>
      </rPr>
      <t>fonctionnaires</t>
    </r>
    <r>
      <rPr>
        <sz val="10"/>
        <rFont val="Arial"/>
        <family val="2"/>
      </rPr>
      <t xml:space="preserve"> (titulaires et stagiaires) et les </t>
    </r>
    <r>
      <rPr>
        <b/>
        <sz val="10"/>
        <rFont val="Arial"/>
        <family val="2"/>
        <charset val="1"/>
      </rPr>
      <t>contractuels sur emploi permanent</t>
    </r>
  </si>
  <si>
    <r>
      <t xml:space="preserve">- les </t>
    </r>
    <r>
      <rPr>
        <b/>
        <i/>
        <sz val="10"/>
        <rFont val="Arial"/>
        <family val="2"/>
      </rPr>
      <t>fonctionnaires</t>
    </r>
    <r>
      <rPr>
        <i/>
        <sz val="10"/>
        <rFont val="Arial"/>
        <family val="2"/>
      </rPr>
      <t xml:space="preserve"> et agents </t>
    </r>
    <r>
      <rPr>
        <b/>
        <i/>
        <sz val="10"/>
        <rFont val="Arial"/>
        <family val="2"/>
      </rPr>
      <t>contractuels sur emploi permanent</t>
    </r>
    <r>
      <rPr>
        <i/>
        <sz val="10"/>
        <rFont val="Arial"/>
        <family val="2"/>
      </rPr>
      <t xml:space="preserve"> qui se trouvent dans une </t>
    </r>
    <r>
      <rPr>
        <i/>
        <u/>
        <sz val="10"/>
        <rFont val="Arial"/>
        <family val="2"/>
      </rPr>
      <t>position autre que celle de l’activité</t>
    </r>
    <r>
      <rPr>
        <i/>
        <sz val="10"/>
        <rFont val="Arial"/>
        <family val="2"/>
      </rPr>
      <t>. Pour les contractuels, les congés sans traitement pour convenance personnelle sont à comptabiliser avec les disponibilités pour convenance personnelle.</t>
    </r>
  </si>
  <si>
    <r>
      <t xml:space="preserve">- les </t>
    </r>
    <r>
      <rPr>
        <b/>
        <i/>
        <sz val="10"/>
        <rFont val="Arial"/>
        <family val="2"/>
      </rPr>
      <t>fonctionnaires</t>
    </r>
    <r>
      <rPr>
        <i/>
        <sz val="10"/>
        <rFont val="Arial"/>
        <family val="2"/>
      </rPr>
      <t xml:space="preserve"> </t>
    </r>
    <r>
      <rPr>
        <b/>
        <i/>
        <sz val="10"/>
        <rFont val="Arial"/>
        <family val="2"/>
      </rPr>
      <t>recrutés</t>
    </r>
    <r>
      <rPr>
        <i/>
        <sz val="10"/>
        <rFont val="Arial"/>
        <family val="2"/>
      </rPr>
      <t xml:space="preserve"> dans votre collectivité par la voie d’un </t>
    </r>
    <r>
      <rPr>
        <b/>
        <i/>
        <sz val="10"/>
        <rFont val="Arial"/>
        <family val="2"/>
      </rPr>
      <t>détachement non suivi d’intégration</t>
    </r>
    <r>
      <rPr>
        <i/>
        <sz val="10"/>
        <rFont val="Arial"/>
        <family val="2"/>
      </rPr>
      <t>.</t>
    </r>
  </si>
  <si>
    <r>
      <rPr>
        <sz val="10"/>
        <rFont val="Arial"/>
        <family val="2"/>
      </rPr>
      <t xml:space="preserve">* </t>
    </r>
    <r>
      <rPr>
        <b/>
        <sz val="10"/>
        <rFont val="Arial"/>
        <family val="2"/>
        <charset val="1"/>
      </rPr>
      <t>selon leur origine et par type de situation</t>
    </r>
  </si>
  <si>
    <r>
      <t xml:space="preserve">- indicateur 1.4.1 : agents </t>
    </r>
    <r>
      <rPr>
        <b/>
        <sz val="10"/>
        <rFont val="Arial"/>
        <family val="2"/>
        <charset val="1"/>
      </rPr>
      <t>originaires de votre collectivité</t>
    </r>
    <r>
      <rPr>
        <sz val="10"/>
        <rFont val="Arial"/>
        <family val="2"/>
      </rPr>
      <t xml:space="preserve"> ;</t>
    </r>
  </si>
  <si>
    <r>
      <t>- indicateur 1.4.2 :</t>
    </r>
    <r>
      <rPr>
        <sz val="10"/>
        <rFont val="Arial"/>
        <family val="2"/>
      </rPr>
      <t xml:space="preserve"> agents </t>
    </r>
    <r>
      <rPr>
        <b/>
        <sz val="10"/>
        <rFont val="Arial"/>
        <family val="2"/>
      </rPr>
      <t>détachés dans la collectivité</t>
    </r>
    <r>
      <rPr>
        <sz val="10"/>
        <rFont val="Arial"/>
        <family val="2"/>
      </rPr>
      <t xml:space="preserve"> et originaires d’une autre structure ;</t>
    </r>
  </si>
  <si>
    <r>
      <t xml:space="preserve">- indicateur 1.4.3 : agents </t>
    </r>
    <r>
      <rPr>
        <b/>
        <sz val="10"/>
        <rFont val="Arial"/>
        <family val="2"/>
        <charset val="1"/>
      </rPr>
      <t>mis à disposition</t>
    </r>
    <r>
      <rPr>
        <sz val="10"/>
        <rFont val="Arial"/>
        <family val="2"/>
      </rPr>
      <t xml:space="preserve"> de votre collectivité et originaires d’une autre structure ;</t>
    </r>
  </si>
  <si>
    <r>
      <t xml:space="preserve">- indicateur 1.4.4 : </t>
    </r>
    <r>
      <rPr>
        <b/>
        <sz val="10"/>
        <rFont val="Arial"/>
        <family val="2"/>
      </rPr>
      <t>fonctionnaires</t>
    </r>
    <r>
      <rPr>
        <sz val="10"/>
        <rFont val="Arial"/>
        <family val="2"/>
      </rPr>
      <t xml:space="preserve"> pris en charge par le </t>
    </r>
    <r>
      <rPr>
        <b/>
        <sz val="10"/>
        <rFont val="Arial"/>
        <family val="2"/>
        <charset val="1"/>
      </rPr>
      <t>CNFPT</t>
    </r>
    <r>
      <rPr>
        <sz val="10"/>
        <rFont val="Arial"/>
        <family val="2"/>
      </rPr>
      <t xml:space="preserve"> ou un</t>
    </r>
    <r>
      <rPr>
        <b/>
        <sz val="10"/>
        <rFont val="Arial"/>
        <family val="2"/>
        <charset val="1"/>
      </rPr>
      <t xml:space="preserve"> CDG.</t>
    </r>
  </si>
  <si>
    <r>
      <t xml:space="preserve">Indicateur 1.4.1 </t>
    </r>
    <r>
      <rPr>
        <sz val="10"/>
        <rFont val="Arial"/>
        <family val="2"/>
      </rPr>
      <t xml:space="preserve">: agents </t>
    </r>
    <r>
      <rPr>
        <b/>
        <sz val="10"/>
        <rFont val="Arial"/>
        <family val="2"/>
        <charset val="1"/>
      </rPr>
      <t>originaires de votre collectivité</t>
    </r>
  </si>
  <si>
    <r>
      <rPr>
        <sz val="10"/>
        <rFont val="Arial"/>
        <family val="2"/>
      </rPr>
      <t xml:space="preserve">* par </t>
    </r>
    <r>
      <rPr>
        <b/>
        <sz val="10"/>
        <rFont val="Arial"/>
        <family val="2"/>
        <charset val="1"/>
      </rPr>
      <t>positions statutaires particulières</t>
    </r>
    <r>
      <rPr>
        <b/>
        <sz val="10"/>
        <rFont val="Arial"/>
        <family val="2"/>
        <charset val="1"/>
      </rPr>
      <t xml:space="preserve"> </t>
    </r>
    <r>
      <rPr>
        <sz val="10"/>
        <rFont val="Arial"/>
        <family val="2"/>
      </rPr>
      <t>(en lignes)</t>
    </r>
  </si>
  <si>
    <r>
      <t xml:space="preserve">Remarque : </t>
    </r>
    <r>
      <rPr>
        <i/>
        <sz val="10"/>
        <rFont val="Arial"/>
        <family val="2"/>
      </rPr>
      <t>certaines rubriques ne concernent pas les contractuels sur emploi permanent :</t>
    </r>
  </si>
  <si>
    <t>- position hors cadres ;</t>
  </si>
  <si>
    <t>- congé spécial ;</t>
  </si>
  <si>
    <t>- détachement.</t>
  </si>
  <si>
    <t>14 - Centre intercommunal d'action sociale (CIAS)</t>
  </si>
  <si>
    <t xml:space="preserve"> </t>
  </si>
  <si>
    <t>Onglet</t>
  </si>
  <si>
    <t>1 - EFFECTIFS</t>
  </si>
  <si>
    <r>
      <rPr>
        <b/>
        <i/>
        <sz val="8"/>
        <color indexed="10"/>
        <rFont val="Arial"/>
        <family val="2"/>
      </rPr>
      <t>Remarque :</t>
    </r>
    <r>
      <rPr>
        <i/>
        <sz val="8"/>
        <rFont val="Arial"/>
        <family val="2"/>
      </rPr>
      <t xml:space="preserve"> Remplir le</t>
    </r>
    <r>
      <rPr>
        <b/>
        <i/>
        <sz val="8"/>
        <rFont val="Arial"/>
        <family val="2"/>
      </rPr>
      <t xml:space="preserve"> nombre de jours accordés</t>
    </r>
    <r>
      <rPr>
        <i/>
        <sz val="8"/>
        <rFont val="Arial"/>
        <family val="2"/>
      </rPr>
      <t xml:space="preserve"> uniquement si vous avez répondu </t>
    </r>
    <r>
      <rPr>
        <b/>
        <i/>
        <sz val="8"/>
        <rFont val="Arial"/>
        <family val="2"/>
      </rPr>
      <t>'oui'</t>
    </r>
    <r>
      <rPr>
        <i/>
        <sz val="8"/>
        <rFont val="Arial"/>
        <family val="2"/>
      </rPr>
      <t xml:space="preserve"> à la question située au-dessus.</t>
    </r>
  </si>
  <si>
    <t>Pour maternité ou adoption (1)</t>
  </si>
  <si>
    <t>Pour naissance ou adoption (3 jours), pour paternité et accueil de l'enfant (11 jours ou 18 jours en cas de naissance multiple) et congé d’adoption (article 57-5° de la loi du 26 janvier 1984)</t>
  </si>
  <si>
    <t>- Ne pas remplir les cellules grisées</t>
  </si>
  <si>
    <r>
      <rPr>
        <b/>
        <i/>
        <sz val="9"/>
        <color indexed="10"/>
        <rFont val="Arial"/>
        <family val="2"/>
      </rPr>
      <t>Remarques :</t>
    </r>
    <r>
      <rPr>
        <i/>
        <sz val="9"/>
        <color indexed="10"/>
        <rFont val="Arial"/>
        <family val="2"/>
      </rPr>
      <t/>
    </r>
  </si>
  <si>
    <t>- La comptabilisation se fait sur deux tableaux distincts, en fonction du statut des agents.</t>
  </si>
  <si>
    <t>Si OUI, renseigner le tableau suivant :</t>
  </si>
  <si>
    <r>
      <t>Il s'agit des</t>
    </r>
    <r>
      <rPr>
        <i/>
        <u/>
        <sz val="9"/>
        <rFont val="Arial"/>
        <family val="2"/>
      </rPr>
      <t xml:space="preserve"> heures supplémentaires réellement effectuées</t>
    </r>
    <r>
      <rPr>
        <i/>
        <sz val="9"/>
        <rFont val="Arial"/>
        <family val="2"/>
      </rPr>
      <t xml:space="preserve"> par les agents et</t>
    </r>
    <r>
      <rPr>
        <i/>
        <u/>
        <sz val="9"/>
        <rFont val="Arial"/>
        <family val="2"/>
      </rPr>
      <t xml:space="preserve"> rémunérées.</t>
    </r>
    <r>
      <rPr>
        <i/>
        <sz val="9"/>
        <rFont val="Arial"/>
        <family val="2"/>
      </rPr>
      <t xml:space="preserve"> </t>
    </r>
  </si>
  <si>
    <r>
      <t xml:space="preserve">Inclure aussi les </t>
    </r>
    <r>
      <rPr>
        <i/>
        <u/>
        <sz val="9"/>
        <rFont val="Arial"/>
        <family val="2"/>
      </rPr>
      <t>heures complémentaires</t>
    </r>
    <r>
      <rPr>
        <i/>
        <sz val="9"/>
        <rFont val="Arial"/>
        <family val="2"/>
      </rPr>
      <t>.</t>
    </r>
  </si>
  <si>
    <r>
      <t xml:space="preserve">Si </t>
    </r>
    <r>
      <rPr>
        <b/>
        <sz val="9"/>
        <rFont val="Arial"/>
        <family val="2"/>
      </rPr>
      <t>OUI</t>
    </r>
    <r>
      <rPr>
        <sz val="9"/>
        <rFont val="Arial"/>
        <family val="2"/>
      </rPr>
      <t>, renseigner le tableau suivant :</t>
    </r>
  </si>
  <si>
    <r>
      <rPr>
        <u/>
        <sz val="10"/>
        <rFont val="Arial"/>
        <family val="2"/>
      </rPr>
      <t>3.4.4.1</t>
    </r>
    <r>
      <rPr>
        <sz val="10"/>
        <rFont val="Arial"/>
        <family val="2"/>
      </rPr>
      <t xml:space="preserve"> : référence au compte administratif ou à défaut au budget primitif additionné le cas échéant, du budget supplémentaire.</t>
    </r>
  </si>
  <si>
    <r>
      <rPr>
        <u/>
        <sz val="10"/>
        <rFont val="Arial"/>
        <family val="2"/>
      </rPr>
      <t>3.4.4.2</t>
    </r>
    <r>
      <rPr>
        <sz val="10"/>
        <rFont val="Arial"/>
        <family val="2"/>
      </rPr>
      <t xml:space="preserve"> : charges de personnel en référence au chapitre 012 du compte administratif, ou à défaut du budget prévisionnel additionné le cas échéant, du budget supplémentaire.</t>
    </r>
  </si>
  <si>
    <r>
      <t xml:space="preserve">- du </t>
    </r>
    <r>
      <rPr>
        <b/>
        <i/>
        <sz val="10"/>
        <rFont val="Arial"/>
        <family val="2"/>
        <charset val="1"/>
      </rPr>
      <t>temps partiel de droit</t>
    </r>
    <r>
      <rPr>
        <i/>
        <sz val="10"/>
        <rFont val="Arial"/>
        <family val="2"/>
        <charset val="1"/>
      </rPr>
      <t xml:space="preserve"> qui peut être accordé soit pour raison familiale (pour élever un enfant, donner des soins à son conjoint, à un enfant à charge ou à un ascendant atteint d'un handicap nécessitant la présence d'une tierce personne, ou victime d'un accident ou d'une maladie grave), soit à certains travailleurs en situation de handicap (article 13 du décret n° 2004-777 du 29 juillet 2004 relatif à la mise en œuvre du temps partiel dans la fonction publique territoriale) </t>
    </r>
  </si>
  <si>
    <r>
      <t xml:space="preserve"> - du</t>
    </r>
    <r>
      <rPr>
        <b/>
        <i/>
        <sz val="10"/>
        <rFont val="Arial"/>
        <family val="2"/>
        <charset val="1"/>
      </rPr>
      <t xml:space="preserve"> temps partiel sur autorisation</t>
    </r>
    <r>
      <rPr>
        <i/>
        <sz val="10"/>
        <rFont val="Arial"/>
        <family val="2"/>
        <charset val="1"/>
      </rPr>
      <t xml:space="preserve"> (pour une durée de service qui ne peut être inférieure au mi-temps) pour les agents contractuels en activité employés depuis plus d'un an de façon continue à temps complet, sur leur demande et sous réserve des nécessités du service (article 10 du décret n°2004-777 du 29 juillet 2004 précité) 
</t>
    </r>
  </si>
  <si>
    <r>
      <t xml:space="preserve">Remarque </t>
    </r>
    <r>
      <rPr>
        <i/>
        <sz val="10"/>
        <color indexed="45"/>
        <rFont val="Arial"/>
        <family val="2"/>
        <charset val="1"/>
      </rPr>
      <t>:</t>
    </r>
    <r>
      <rPr>
        <i/>
        <sz val="10"/>
        <rFont val="Arial"/>
        <family val="2"/>
      </rPr>
      <t xml:space="preserve"> il s’agit des fonctionnaires déjà recensés à l’indicateur 1.2.2. dans les colonnes 1.2.2(3) à 1.2.2(8).</t>
    </r>
  </si>
  <si>
    <r>
      <t>*</t>
    </r>
    <r>
      <rPr>
        <sz val="10"/>
        <rFont val="Arial"/>
        <family val="2"/>
      </rPr>
      <t>par</t>
    </r>
    <r>
      <rPr>
        <b/>
        <sz val="10"/>
        <rFont val="Arial"/>
        <family val="2"/>
        <charset val="1"/>
      </rPr>
      <t xml:space="preserve"> catégorie </t>
    </r>
    <r>
      <rPr>
        <sz val="10"/>
        <rFont val="Arial"/>
        <family val="2"/>
      </rPr>
      <t xml:space="preserve">par </t>
    </r>
    <r>
      <rPr>
        <b/>
        <sz val="10"/>
        <rFont val="Arial"/>
        <family val="2"/>
        <charset val="1"/>
      </rPr>
      <t xml:space="preserve">sexe </t>
    </r>
    <r>
      <rPr>
        <sz val="10"/>
        <rFont val="Arial"/>
        <family val="2"/>
      </rPr>
      <t>(en lignes)</t>
    </r>
  </si>
  <si>
    <r>
      <t xml:space="preserve">*par </t>
    </r>
    <r>
      <rPr>
        <b/>
        <sz val="10"/>
        <rFont val="Arial"/>
        <family val="2"/>
        <charset val="1"/>
      </rPr>
      <t>type de temps partiel</t>
    </r>
    <r>
      <rPr>
        <sz val="10"/>
        <rFont val="Arial"/>
        <family val="2"/>
      </rPr>
      <t xml:space="preserve"> (en colonnes)</t>
    </r>
  </si>
  <si>
    <r>
      <t>- colonne 1.2.3(1) : temps partiel</t>
    </r>
    <r>
      <rPr>
        <b/>
        <sz val="10"/>
        <rFont val="Arial"/>
        <family val="2"/>
        <charset val="1"/>
      </rPr>
      <t xml:space="preserve"> de droit</t>
    </r>
  </si>
  <si>
    <r>
      <t xml:space="preserve">- colonne 1.2.3(2) : temps partiel </t>
    </r>
    <r>
      <rPr>
        <b/>
        <sz val="10"/>
        <rFont val="Arial"/>
        <family val="2"/>
        <charset val="1"/>
      </rPr>
      <t>sur autorisation</t>
    </r>
  </si>
  <si>
    <r>
      <t xml:space="preserve">L'indicateur 2.1.0 recense les jours d'absence accordés par l'employeur à l'ensemble de ses agents. </t>
    </r>
    <r>
      <rPr>
        <sz val="10"/>
        <rFont val="Arial"/>
        <family val="2"/>
      </rPr>
      <t>Il</t>
    </r>
    <r>
      <rPr>
        <b/>
        <sz val="10"/>
        <rFont val="Arial"/>
        <family val="2"/>
        <charset val="1"/>
      </rPr>
      <t xml:space="preserve"> </t>
    </r>
    <r>
      <rPr>
        <sz val="10"/>
        <rFont val="Arial"/>
        <family val="2"/>
      </rPr>
      <t>s'inscrit dans le prolongement des conclusions du rapport Laurent de 2016 sur le temps de travail qui préconise notamment une meilleure connaissance du temps de travail dans la FPT. A noter que les bilans sociaux FPE et FPH seront également complétés en ce sens.</t>
    </r>
  </si>
  <si>
    <r>
      <t>L'</t>
    </r>
    <r>
      <rPr>
        <b/>
        <sz val="10"/>
        <rFont val="Arial"/>
        <family val="2"/>
        <charset val="1"/>
      </rPr>
      <t>indicateur 2.2.1.</t>
    </r>
    <r>
      <rPr>
        <sz val="10"/>
        <rFont val="Arial"/>
        <family val="2"/>
      </rPr>
      <t xml:space="preserve"> recense les effectifs en nombre de personnes physiques (</t>
    </r>
    <r>
      <rPr>
        <b/>
        <sz val="10"/>
        <rFont val="Arial"/>
        <family val="2"/>
        <charset val="1"/>
      </rPr>
      <t>1 personne = 1 unité</t>
    </r>
    <r>
      <rPr>
        <sz val="10"/>
        <rFont val="Arial"/>
        <family val="2"/>
      </rPr>
      <t>).</t>
    </r>
  </si>
  <si>
    <r>
      <t>Ne pas remplir</t>
    </r>
    <r>
      <rPr>
        <sz val="10"/>
        <rFont val="Arial"/>
        <family val="2"/>
      </rPr>
      <t xml:space="preserve"> les </t>
    </r>
    <r>
      <rPr>
        <sz val="10"/>
        <rFont val="Arial"/>
        <family val="2"/>
      </rPr>
      <t>cellules grisées</t>
    </r>
    <r>
      <rPr>
        <sz val="10"/>
        <rFont val="Arial"/>
        <family val="2"/>
      </rPr>
      <t xml:space="preserve"> (pré remplies par un zéro) qui font l’objet de </t>
    </r>
    <r>
      <rPr>
        <sz val="10"/>
        <rFont val="Arial"/>
        <family val="2"/>
      </rPr>
      <t xml:space="preserve">calculs automatiques. </t>
    </r>
  </si>
  <si>
    <r>
      <t>* les</t>
    </r>
    <r>
      <rPr>
        <b/>
        <sz val="10"/>
        <rFont val="Arial"/>
        <family val="2"/>
        <charset val="1"/>
      </rPr>
      <t xml:space="preserve"> fonctionnaires</t>
    </r>
    <r>
      <rPr>
        <sz val="10"/>
        <rFont val="Arial"/>
        <family val="2"/>
      </rPr>
      <t xml:space="preserve"> stagiaires et titulaires</t>
    </r>
  </si>
  <si>
    <r>
      <t xml:space="preserve">* les </t>
    </r>
    <r>
      <rPr>
        <b/>
        <sz val="10"/>
        <rFont val="Arial"/>
        <family val="2"/>
        <charset val="1"/>
      </rPr>
      <t>contractuels</t>
    </r>
    <r>
      <rPr>
        <sz val="10"/>
        <rFont val="Arial"/>
        <family val="2"/>
      </rPr>
      <t xml:space="preserve"> occupant un emploi permanent à temps complet</t>
    </r>
  </si>
  <si>
    <r>
      <t>- pour les</t>
    </r>
    <r>
      <rPr>
        <b/>
        <i/>
        <sz val="10"/>
        <rFont val="Arial"/>
        <family val="2"/>
      </rPr>
      <t xml:space="preserve"> fonctionnaires</t>
    </r>
    <r>
      <rPr>
        <i/>
        <sz val="10"/>
        <rFont val="Arial"/>
        <family val="2"/>
      </rPr>
      <t xml:space="preserve">, il s'agit des agents recensés aux indicateurs </t>
    </r>
    <r>
      <rPr>
        <i/>
        <u/>
        <sz val="10"/>
        <rFont val="Arial"/>
        <family val="2"/>
      </rPr>
      <t xml:space="preserve"> 1.1.2(1) et 1.1.2(2)</t>
    </r>
  </si>
  <si>
    <r>
      <t xml:space="preserve">- pour les </t>
    </r>
    <r>
      <rPr>
        <b/>
        <i/>
        <sz val="10"/>
        <rFont val="Arial"/>
        <family val="2"/>
      </rPr>
      <t>contractuels</t>
    </r>
    <r>
      <rPr>
        <i/>
        <sz val="10"/>
        <rFont val="Arial"/>
        <family val="2"/>
      </rPr>
      <t xml:space="preserve">, il s'agit des agents recensés à l'indicateur  </t>
    </r>
    <r>
      <rPr>
        <i/>
        <u/>
        <sz val="10"/>
        <rFont val="Arial"/>
        <family val="2"/>
      </rPr>
      <t>1.2.2</t>
    </r>
  </si>
  <si>
    <r>
      <rPr>
        <sz val="10"/>
        <rFont val="Arial"/>
        <family val="2"/>
      </rPr>
      <t xml:space="preserve">* </t>
    </r>
    <r>
      <rPr>
        <b/>
        <sz val="10"/>
        <rFont val="Arial"/>
        <family val="2"/>
        <charset val="1"/>
      </rPr>
      <t>selon le cycle de travail</t>
    </r>
    <r>
      <rPr>
        <sz val="10"/>
        <rFont val="Arial"/>
        <family val="2"/>
      </rPr>
      <t xml:space="preserve"> qui leur est applicable en référence à la délibération prise pour l’application du décret n° 2001-623 du 12 juillet 2001 relatif à l’aménagement et à la réduction du temps de travail dans la fonction publique territoriale (en lignes) :</t>
    </r>
  </si>
  <si>
    <r>
      <t xml:space="preserve">- cycle </t>
    </r>
    <r>
      <rPr>
        <b/>
        <sz val="10"/>
        <rFont val="Arial"/>
        <family val="2"/>
        <charset val="1"/>
      </rPr>
      <t>hebdomadaire</t>
    </r>
  </si>
  <si>
    <r>
      <t>- cycle</t>
    </r>
    <r>
      <rPr>
        <b/>
        <sz val="10"/>
        <rFont val="Arial"/>
        <family val="2"/>
        <charset val="1"/>
      </rPr>
      <t xml:space="preserve"> mensuel</t>
    </r>
  </si>
  <si>
    <r>
      <t xml:space="preserve">- cycle </t>
    </r>
    <r>
      <rPr>
        <b/>
        <sz val="10"/>
        <rFont val="Arial"/>
        <family val="2"/>
        <charset val="1"/>
      </rPr>
      <t>saisonnier</t>
    </r>
  </si>
  <si>
    <r>
      <t xml:space="preserve">- cycle </t>
    </r>
    <r>
      <rPr>
        <b/>
        <sz val="10"/>
        <rFont val="Arial"/>
        <family val="2"/>
        <charset val="1"/>
      </rPr>
      <t>annuel</t>
    </r>
  </si>
  <si>
    <r>
      <t xml:space="preserve">- </t>
    </r>
    <r>
      <rPr>
        <b/>
        <sz val="10"/>
        <rFont val="Arial"/>
        <family val="2"/>
        <charset val="1"/>
      </rPr>
      <t>autres</t>
    </r>
    <r>
      <rPr>
        <sz val="10"/>
        <rFont val="Arial"/>
        <family val="2"/>
      </rPr>
      <t xml:space="preserve"> cycles</t>
    </r>
  </si>
  <si>
    <r>
      <t xml:space="preserve">- </t>
    </r>
    <r>
      <rPr>
        <b/>
        <sz val="10"/>
        <rFont val="Arial"/>
        <family val="2"/>
        <charset val="1"/>
      </rPr>
      <t>forfait</t>
    </r>
  </si>
  <si>
    <t>Période de préparation au reclassement acceptée au cours de l'année</t>
  </si>
  <si>
    <t>Reclassement effectif au cours de l'année, suite à une période de préparation au reclassement</t>
  </si>
  <si>
    <t>si en auto-assurance</t>
  </si>
  <si>
    <t>. Transfert de compétence</t>
  </si>
  <si>
    <t>Agents chargés des fonctions d'inspection en hygiène et sécurité dans la collectivité (ACFI) ***, titulaires ou contractuels, agents de la collectivité</t>
  </si>
  <si>
    <t>Personnes ayant bénéficié d'un contrat aidé</t>
  </si>
  <si>
    <t>3.1.1 - FONCTIONNAIRES SUR EMPLOI PERMANENT</t>
  </si>
  <si>
    <t>3.2.1 - CONTRACTUELS SUR EMPLOI PERMANENT</t>
  </si>
  <si>
    <t xml:space="preserve">Adresse mail : </t>
  </si>
  <si>
    <r>
      <t xml:space="preserve">1.1.4 Nombre de Fonctionnaires en </t>
    </r>
    <r>
      <rPr>
        <b/>
        <u/>
        <sz val="10"/>
        <rFont val="Arial"/>
        <family val="2"/>
      </rPr>
      <t xml:space="preserve">Equivalent Temps Plein Rémunéré (ETPR) </t>
    </r>
    <r>
      <rPr>
        <b/>
        <sz val="10"/>
        <rFont val="Arial"/>
        <family val="2"/>
      </rPr>
      <t xml:space="preserve">ayant travaillé au moins un jour 
</t>
    </r>
    <r>
      <rPr>
        <sz val="10"/>
        <rFont val="Arial"/>
        <family val="2"/>
      </rPr>
      <t>(Titulaires et stagiaires)</t>
    </r>
  </si>
  <si>
    <t>Personnes ayant bénéficié d'un emploi aidé</t>
  </si>
  <si>
    <t>Par voie de détachement d'agents</t>
  </si>
  <si>
    <t>Réintégration
agents non rémunérés pendant la période d'absence :</t>
  </si>
  <si>
    <t>retour de disponibilité</t>
  </si>
  <si>
    <t>autres cas</t>
  </si>
  <si>
    <r>
      <t xml:space="preserve">Total </t>
    </r>
    <r>
      <rPr>
        <sz val="10"/>
        <rFont val="Arial"/>
        <family val="2"/>
      </rPr>
      <t>(y compris les journées sans précision de la nature locale ou nationale du mot d'ordre)</t>
    </r>
  </si>
  <si>
    <r>
      <t xml:space="preserve">         </t>
    </r>
    <r>
      <rPr>
        <sz val="10"/>
        <rFont val="Arial"/>
        <family val="2"/>
      </rPr>
      <t xml:space="preserve"> - sur mot d'ordre national </t>
    </r>
  </si>
  <si>
    <t>Agents contractuels permanents</t>
  </si>
  <si>
    <t>Agents contractuels non permanents</t>
  </si>
  <si>
    <t>CDI</t>
  </si>
  <si>
    <t>CDD</t>
  </si>
  <si>
    <t xml:space="preserve">              des commissions consultatives paritaires</t>
  </si>
  <si>
    <t>Nombre de jours d'activité des représentants en CHSCT</t>
  </si>
  <si>
    <t>Nombre de jours d'activité du secrétaire du CHSCT</t>
  </si>
  <si>
    <r>
      <rPr>
        <b/>
        <sz val="10"/>
        <rFont val="Arial"/>
        <family val="2"/>
        <charset val="1"/>
      </rPr>
      <t xml:space="preserve">L’indicateur 4.1.5 recense l’existence d’un plan de prévention des risques psychosociaux
</t>
    </r>
    <r>
      <rPr>
        <sz val="10"/>
        <rFont val="Arial"/>
        <family val="2"/>
      </rPr>
      <t>Un accord-cadre relatif à la prévention des risques psychosociaux (RPS) dans la fonction publique a été signé le 22 octobre 2013, obligeant chaque employeur public à élaborer un plan d’évaluation et de prévention des RPS d’ici 2015. Ces plans sont réalisés sur la base des diagnostics locaux qui sont intégrés au document unique d’évaluation des risques professionnels (DUERP).
Une circulaire du Premier ministre du 20 mars 2014 a fixé les conditions de mise en œuvre du plan national d'action pour la prévention des risques psychosociaux dans les trois versants de la fonction publique. Une circulaire du 25 juillet 2014 fixe les modalités d'application de cet accord-cadre dans la fonction publique territoriale.</t>
    </r>
  </si>
  <si>
    <r>
      <rPr>
        <b/>
        <sz val="10"/>
        <rFont val="Arial"/>
        <family val="2"/>
        <charset val="1"/>
      </rPr>
      <t xml:space="preserve">L’indicateur 4.1.6 recense les démarches éventuelles  de prévention des TMS et des CMR
</t>
    </r>
    <r>
      <rPr>
        <sz val="10"/>
        <rFont val="Arial"/>
        <family val="2"/>
      </rPr>
      <t>L’accord sur la santé et la sécurité au travail (SST) dans la Fonction publique signé le 20 novembre 2009 a instauré un droit à un suivi médical post-professionnel des risques cancérogènes, mutagènes et toxiques pour la reproduction (CMR) et a également prévu des actions de prévention des troubles musculo-squelettiques (TMS).</t>
    </r>
  </si>
  <si>
    <t>IND 2.2.5</t>
  </si>
  <si>
    <t>Fiche 2.2.1-2.2.7</t>
  </si>
  <si>
    <t>Fiche 3.1.1-3.4.3</t>
  </si>
  <si>
    <t xml:space="preserve">                         3.4.1 - Cotisations à l'UNEDIC et à pôle emploi                                                                 </t>
  </si>
  <si>
    <t xml:space="preserve">3.4.2 - Allocations chômage versées directement aux bénéficiaires         </t>
  </si>
  <si>
    <t>Fiche 3.1.1 - 3.4.3 - Rémunération et assurance chômage</t>
  </si>
  <si>
    <t>Fiche 4.1.4 - 4.1.6 - Documents de prévention</t>
  </si>
  <si>
    <t>Fiche 4.1.4-4.1.6</t>
  </si>
  <si>
    <t>Cat. B : préparation concours</t>
  </si>
  <si>
    <t>Monsieur Z, agent d’entretien, a participé à un stage de formation de perfectionnement et à une action de formation personnelle.</t>
  </si>
  <si>
    <t>La loi n° 84-594 du 12 juillet 1984 relative à la formation des agents de la fonction publique territoriale et complétant la loi n°84-53 du 26 janvier 1984 portant dispositions statutaires relatives à la fonction publique territoriale (chapitre 1er) a été modifiée par la loi n° 2007-209 du 19 février 2007 relative à la fonction publique territoriale.</t>
  </si>
  <si>
    <t>Le décret n° 85-1076 du 9 octobre 1985 relatif à l’exercice du droit à la formation des agents de la fonction publique territoriale (section II et III) a été abrogé et remplacé par le décret n° 2007-1845 du 26 décembre 2007 relatif à la formation professionnelle tout au long de la vie des agents de la fonction publique territoriale.</t>
  </si>
  <si>
    <t>Nombre de jours consommés</t>
  </si>
  <si>
    <t>- indemnisés</t>
  </si>
  <si>
    <t>- versés au régime de retraite additionnel dans la fonction publique (Rafp)</t>
  </si>
  <si>
    <t>2.2. - Temps de travail</t>
  </si>
  <si>
    <t>Qualité de service (manquement aux sujétions du service, négligence, désobéissance hiérarchique, absence irrégulière, abandon de poste)</t>
  </si>
  <si>
    <t>Atteinte à la discrétion professionnelle, au secret professionnel, au secret des correspondances, à la vie privée, à la liberté individuelle</t>
  </si>
  <si>
    <t>Incorrections, violences, insultes, harcèlement moral</t>
  </si>
  <si>
    <t>Ivresse</t>
  </si>
  <si>
    <t>Mœurs (dont harcèlement sexuel)</t>
  </si>
  <si>
    <r>
      <rPr>
        <b/>
        <i/>
        <sz val="9"/>
        <color indexed="10"/>
        <rFont val="Arial"/>
        <family val="2"/>
      </rPr>
      <t xml:space="preserve">Remarque importante </t>
    </r>
    <r>
      <rPr>
        <i/>
        <sz val="9"/>
        <rFont val="Arial"/>
        <family val="2"/>
      </rPr>
      <t>: les agents occupant un</t>
    </r>
    <r>
      <rPr>
        <i/>
        <u/>
        <sz val="9"/>
        <rFont val="Arial"/>
        <family val="2"/>
      </rPr>
      <t xml:space="preserve"> emploi fonctionnel</t>
    </r>
    <r>
      <rPr>
        <i/>
        <sz val="9"/>
        <rFont val="Arial"/>
        <family val="2"/>
      </rPr>
      <t xml:space="preserve"> doivent être uniquement comptabilisés dans leurs </t>
    </r>
    <r>
      <rPr>
        <b/>
        <i/>
        <sz val="9"/>
        <rFont val="Arial"/>
        <family val="2"/>
      </rPr>
      <t>cadres d'emplois respectifs</t>
    </r>
    <r>
      <rPr>
        <i/>
        <sz val="9"/>
        <rFont val="Arial"/>
        <family val="2"/>
      </rPr>
      <t>.</t>
    </r>
  </si>
  <si>
    <t>Sont comptabilisés :</t>
  </si>
  <si>
    <t>Fiche 1.4.1-1.4.4</t>
  </si>
  <si>
    <t>- horaires décalés ;</t>
  </si>
  <si>
    <t>- travail de nuit ;</t>
  </si>
  <si>
    <t>- travail le week-end ;</t>
  </si>
  <si>
    <t>- travail au forfait (équipes de direction, cadres ou personnels itinérants ayant un forfait de jours de RTT sans décompte horaire).</t>
  </si>
  <si>
    <t>Précisions :</t>
  </si>
  <si>
    <t>Avez-vous mis en place des procédures administratives de contrôle des arrêts maladies ?</t>
  </si>
  <si>
    <t>Avez-vous mis en place des procédures médicales de contrôle des arrêts maladies ?</t>
  </si>
  <si>
    <t>Montant brut des sommes retenues pour délai de carence (€)</t>
  </si>
  <si>
    <t>Ecarts de rémunération hommes-femmes</t>
  </si>
  <si>
    <t>Temps complets</t>
  </si>
  <si>
    <t>Temps non complets</t>
  </si>
  <si>
    <t>Nombre de signalements au DRH pour harcelement moral</t>
  </si>
  <si>
    <t>Hommes 1.3.2(1)</t>
  </si>
  <si>
    <t>Femmes 1.3.2(2)</t>
  </si>
  <si>
    <t>Hommes 1.3.2(3)</t>
  </si>
  <si>
    <t>Femmes 1.3.2(4)</t>
  </si>
  <si>
    <t xml:space="preserve">  - IND 1.4.2 - Nombre d'agents originaires d'une autre structure détachés dans la collectivité</t>
  </si>
  <si>
    <t>IND 1.5.6</t>
  </si>
  <si>
    <t>Catégorie C</t>
  </si>
  <si>
    <t>CONTRACTUELS sur emploi permanent occupant un poste 
à TEMPS COMPLET et exerçant leurs fonctions à :</t>
  </si>
  <si>
    <t>Il est situé dans le même répertoire que le présent questionnaire Excel</t>
  </si>
  <si>
    <t>FILIERE TECHNIQUE</t>
  </si>
  <si>
    <t>Ingénieur en chef stagiaire</t>
  </si>
  <si>
    <t>Ingénieur principal</t>
  </si>
  <si>
    <t xml:space="preserve">Ingénieur </t>
  </si>
  <si>
    <t>Ingénieur stagiaire</t>
  </si>
  <si>
    <t>INGENIEURS</t>
  </si>
  <si>
    <t>Technicien principal de 1ère classe</t>
  </si>
  <si>
    <t>TTT3</t>
  </si>
  <si>
    <t>Technicien principal de 2ème classe</t>
  </si>
  <si>
    <t>TTT2</t>
  </si>
  <si>
    <t>SNN1</t>
  </si>
  <si>
    <t>ANIMATEURS</t>
  </si>
  <si>
    <t>NN</t>
  </si>
  <si>
    <t>Adjoint territorial d'animation principal de 1ère classe</t>
  </si>
  <si>
    <t>TNJ4</t>
  </si>
  <si>
    <t>Adjoint territorial d'animation principal de 2ème classe</t>
  </si>
  <si>
    <t>TNJ3</t>
  </si>
  <si>
    <t>TNJ1</t>
  </si>
  <si>
    <t>SNJ1</t>
  </si>
  <si>
    <t>ADJOINTS TERRITORIAUX D'ANIMATION</t>
  </si>
  <si>
    <t>NJ</t>
  </si>
  <si>
    <t>N</t>
  </si>
  <si>
    <t>01</t>
  </si>
  <si>
    <t>TOTAL</t>
  </si>
  <si>
    <t>00</t>
  </si>
  <si>
    <t>Précisions sur les temps partiels :</t>
  </si>
  <si>
    <t>sexe/emploi</t>
  </si>
  <si>
    <t>effectif</t>
  </si>
  <si>
    <r>
      <rPr>
        <u/>
        <sz val="10"/>
        <rFont val="Arial"/>
        <family val="2"/>
      </rPr>
      <t>Tableau 1</t>
    </r>
    <r>
      <rPr>
        <sz val="10"/>
        <rFont val="Arial"/>
        <family val="2"/>
      </rPr>
      <t xml:space="preserve"> : Fonctionnaires de la fonction publique territoriale</t>
    </r>
  </si>
  <si>
    <r>
      <rPr>
        <u/>
        <sz val="10"/>
        <rFont val="Arial"/>
        <family val="2"/>
      </rPr>
      <t xml:space="preserve">Tableau 2 </t>
    </r>
    <r>
      <rPr>
        <sz val="10"/>
        <rFont val="Arial"/>
        <family val="2"/>
      </rPr>
      <t>: Fonctionnaires issus d'une autre administration (FPE, FPH)</t>
    </r>
  </si>
  <si>
    <t>Administrateurs</t>
  </si>
  <si>
    <t>Attachés</t>
  </si>
  <si>
    <t>Ingénieurs</t>
  </si>
  <si>
    <t>Autres</t>
  </si>
  <si>
    <t>Hommes</t>
  </si>
  <si>
    <t>Femmes</t>
  </si>
  <si>
    <t>Emplois fonctionnels administratifs :</t>
  </si>
  <si>
    <t>recrutement/sexe</t>
  </si>
  <si>
    <t>catégorie</t>
  </si>
  <si>
    <t>1.1.3(1)</t>
  </si>
  <si>
    <t>1.1.3(2)</t>
  </si>
  <si>
    <t>Catégorie A</t>
  </si>
  <si>
    <t>Catégorie B</t>
  </si>
  <si>
    <t>Tableau 2 :</t>
  </si>
  <si>
    <r>
      <t>Tous les montants doivent être exprimés en euros (arrondir à l'euro supérieur).</t>
    </r>
    <r>
      <rPr>
        <b/>
        <sz val="10"/>
        <rFont val="Arial"/>
        <family val="2"/>
      </rPr>
      <t xml:space="preserve"> Opérations réelles, hors opérations d'ordres.</t>
    </r>
  </si>
  <si>
    <r>
      <t xml:space="preserve">Montant des dépenses de fonctionnement de la collectivité constatées au compte administratif de l'année de référence </t>
    </r>
    <r>
      <rPr>
        <b/>
        <sz val="10"/>
        <rFont val="Arial"/>
        <family val="2"/>
      </rPr>
      <t>(opérations réelles, hors opérations d'ordre)</t>
    </r>
  </si>
  <si>
    <r>
      <t xml:space="preserve">Charges de personnel </t>
    </r>
    <r>
      <rPr>
        <b/>
        <sz val="10"/>
        <rFont val="Arial"/>
        <family val="2"/>
      </rPr>
      <t>(opérations réelles, hors opérations d'ordres)</t>
    </r>
  </si>
  <si>
    <t>Professeur d'enseignement artistique stagiaire</t>
  </si>
  <si>
    <t>SCP1</t>
  </si>
  <si>
    <t>PROFESSEURS D'ENSEIGNEMENT ARTISTIQUE</t>
  </si>
  <si>
    <t>OX</t>
  </si>
  <si>
    <t>Rappel : nombre total d'agents concernés</t>
  </si>
  <si>
    <r>
      <rPr>
        <b/>
        <i/>
        <sz val="9"/>
        <rFont val="Arial"/>
        <family val="2"/>
      </rPr>
      <t>Champ :</t>
    </r>
    <r>
      <rPr>
        <i/>
        <sz val="9"/>
        <rFont val="Arial"/>
        <family val="2"/>
      </rPr>
      <t xml:space="preserve"> </t>
    </r>
    <r>
      <rPr>
        <b/>
        <i/>
        <sz val="9"/>
        <rFont val="Arial"/>
        <family val="2"/>
      </rPr>
      <t>toutes les collectivités</t>
    </r>
    <r>
      <rPr>
        <i/>
        <sz val="9"/>
        <rFont val="Arial"/>
        <family val="2"/>
      </rPr>
      <t xml:space="preserve"> sont concernées y compris celles de moins de 20 agents.</t>
    </r>
  </si>
  <si>
    <t xml:space="preserve">Pour maladie professionnelle, maladie imputable au 
  service ou à caractère professionnel </t>
  </si>
  <si>
    <t xml:space="preserve">Pour autorisation spéciale d'absence (enfant malade, mariage, décès, concours, fonctions électives, participation au Comité d'Oeuvres Sociales, réserviste, pompier volontaire, ...) ou formation particulière (ex : BAFA), hors motif syndical ou de représentation </t>
  </si>
  <si>
    <t xml:space="preserve">Pour maladie professionnelle, maladie imputable au service ou à caractère professionnel </t>
  </si>
  <si>
    <t>Sage-femme de classe normale stagiaire</t>
  </si>
  <si>
    <t>Colonel</t>
  </si>
  <si>
    <t>* si un agent a été absent sur plusieurs périodes dans l'année, ne le compter qu'une seule fois.</t>
  </si>
  <si>
    <t>1.6.1-1.6.2  - Bénéficiaires de l'obligation d'emploi (travailleurs en situation de handicap)</t>
  </si>
  <si>
    <t>CNFPT</t>
  </si>
  <si>
    <t>Collectivité</t>
  </si>
  <si>
    <t>Autres  organismes</t>
  </si>
  <si>
    <t>au titre
de la cotisation obligatoire</t>
  </si>
  <si>
    <t>au delà
de la cotisation obligatoire</t>
  </si>
  <si>
    <t>1.5.2 (1)</t>
  </si>
  <si>
    <t>1.5.2(3)</t>
  </si>
  <si>
    <t xml:space="preserve"> 1.5.2(4)</t>
  </si>
  <si>
    <t>1.5.2(19)</t>
  </si>
  <si>
    <t xml:space="preserve"> 1.5.2(20)</t>
  </si>
  <si>
    <t>*5.1.1(7) à 5.1.1(10) – Comment sont décomptés les agents occupant un emploi permanent par type de formation ?</t>
  </si>
  <si>
    <t>5.1.3(1)</t>
  </si>
  <si>
    <t>5.1.3(2)</t>
  </si>
  <si>
    <t>5.1.3(3)</t>
  </si>
  <si>
    <t>5.1.3(4)</t>
  </si>
  <si>
    <t>Hommes 1.3.1(2.1)</t>
  </si>
  <si>
    <t>Femmes 1.3.1(2.2)</t>
  </si>
  <si>
    <t>Départs "temporaires"</t>
  </si>
  <si>
    <t>Directeurs d'établissements d'enseignement artistique</t>
  </si>
  <si>
    <t>Professeurs d'enseignement artistique</t>
  </si>
  <si>
    <t xml:space="preserve">Les jours accumulés sur le compte épargne temps peuvent être  : </t>
  </si>
  <si>
    <t>Par exemple, un attaché principal qui est en poste sur un emploi fonctionnel de directeur général adjoint, doit être comptabilisé en tant qu’attaché principal.</t>
  </si>
  <si>
    <t xml:space="preserve">2.2.6 - Nombre de jours de carence par sexe, par catégorie hiérarchique et montant des sommes brutes retenues </t>
  </si>
  <si>
    <t xml:space="preserve">  - IND 2.2.7 - Modalités de contrôle des arrêts maladie</t>
  </si>
  <si>
    <t xml:space="preserve">2.2.7 - Modalités de contrôle des arrêts maladie </t>
  </si>
  <si>
    <t xml:space="preserve">                     3.4.5 - Dépenses de fonctionnement de la collectivité et dépenses de personnel</t>
  </si>
  <si>
    <t>Article 3-3, 4°</t>
  </si>
  <si>
    <t>Article 3-3, 5°</t>
  </si>
  <si>
    <t xml:space="preserve">Remplaçants </t>
  </si>
  <si>
    <t>Affectés sur un poste vacant</t>
  </si>
  <si>
    <t xml:space="preserve">Pas de cadre d'emplois existant </t>
  </si>
  <si>
    <t>L’assemblée décide des modalités de mise en œuvre de l’action sociale, soit directement, soit par l’intermédiaire d’un ou de plusieurs prestataires de service (centre de gestion au titre de ses missions facultatives, association nationale telle que le comité national d’action sociale – CNAS –, associations locales type COS).</t>
  </si>
  <si>
    <t>Radiation du tableau d'avancement</t>
  </si>
  <si>
    <t>Ce registre est obligatoire, anciennement dénommé "registre d'hygiène et de sécurité".
Il est mis à disposition de tous les agents afin qu'ils retranscrivent leurs observations en matière d'hygiène et de sécurité dans leur travail quotidien, comme par exemple :
- signaler un dysfonctionnement, une anomalie, des problèmes liés à l'ambiance de travail (encombrement, température, bruit...), à la formation, à la présence de produits ou équipements dangereux ou encore à l'environnement de travail (état des locaux, vétusté des installations...) ;
- poser des questions relatives à la prévention des risques professionnels.
Il s'agit d'un véritable outil de communication et de traçabilité.</t>
  </si>
  <si>
    <t>Tous emplois</t>
  </si>
  <si>
    <t>Total</t>
  </si>
  <si>
    <t>Grades</t>
  </si>
  <si>
    <t>Temps complet</t>
  </si>
  <si>
    <t>Temps non complet</t>
  </si>
  <si>
    <t>Cadres d'emplois</t>
  </si>
  <si>
    <t xml:space="preserve">  - IND 4.2.2 - Les maladies professionnelles ou à caractère professionnel ou contractées en service , par cadre d'emplois et par sexe</t>
  </si>
  <si>
    <t>Un contrôle administratif des autorisations de cumul d’activités de l’agent placé en congé de maladie peut également être effectué par l’employeur afin de s’assurer que l’activité exercée au titre du cumul est compatible avec l’état de santé ayant justifié le placement en congé de maladie</t>
  </si>
  <si>
    <r>
      <t>Le contrôle médical</t>
    </r>
    <r>
      <rPr>
        <i/>
        <sz val="10"/>
        <rFont val="Arial"/>
        <family val="2"/>
      </rPr>
      <t xml:space="preserve"> vise à s’assurer que l’agent placé en congé de maladie remplit les conditions liées à son état de santé pour bénéficier de ce congé.</t>
    </r>
  </si>
  <si>
    <t>Le contrôle médical vise à s’assurer que l’agent placé en congé de maladie remplit les conditions liées à son état de santé pour bénéficier de ce congé.</t>
  </si>
  <si>
    <t>L’autorité hiérarchique peut ordonner une contre-visite médicale assurée par un médecin agréé à laquelle l’agent doit se soumettre sous peine d’interruption du versement de sa rémunération et de perte du bénéfice du congé, après mise en demeure, en cas de refus répétés et sans motif valable de se soumettre au contrôle (articles 15, 29 et 34 du décret du 30 juillet 1987 précité applicables aux fonctionnaires relevant du régime spécial – article 42 du décret n°91-298 du 20 mars 1991 pour les fonctionnaires relevant du régime général de la sécurité sociale - article 12 décret n°88-145 du 15 février 1988 pour les agents contractuels).</t>
  </si>
  <si>
    <r>
      <t xml:space="preserve">* les </t>
    </r>
    <r>
      <rPr>
        <b/>
        <sz val="10"/>
        <rFont val="Arial"/>
        <family val="2"/>
        <charset val="1"/>
      </rPr>
      <t>fonctionnaires</t>
    </r>
    <r>
      <rPr>
        <sz val="10"/>
        <rFont val="Arial"/>
        <family val="2"/>
      </rPr>
      <t xml:space="preserve"> stagiaires et titulaires</t>
    </r>
  </si>
  <si>
    <t>Puis compléter l'indicateur 3.1.1 comme suit :</t>
  </si>
  <si>
    <r>
      <t>* le total des</t>
    </r>
    <r>
      <rPr>
        <b/>
        <sz val="10"/>
        <rFont val="Arial"/>
        <family val="2"/>
        <charset val="1"/>
      </rPr>
      <t xml:space="preserve"> rémunérations annuelles brutes</t>
    </r>
    <r>
      <rPr>
        <sz val="10"/>
        <rFont val="Arial"/>
        <family val="2"/>
      </rPr>
      <t xml:space="preserve"> versées au cours de l’année (hors charges patronales ; colonne 3.1.1.1)</t>
    </r>
  </si>
  <si>
    <r>
      <t>*</t>
    </r>
    <r>
      <rPr>
        <sz val="10"/>
        <rFont val="Arial"/>
        <family val="2"/>
      </rPr>
      <t xml:space="preserve"> les</t>
    </r>
    <r>
      <rPr>
        <b/>
        <sz val="10"/>
        <rFont val="Arial"/>
        <family val="2"/>
        <charset val="1"/>
      </rPr>
      <t xml:space="preserve"> primes et indemnités de toute nature</t>
    </r>
    <r>
      <rPr>
        <sz val="10"/>
        <rFont val="Arial"/>
        <family val="2"/>
      </rPr>
      <t>, à l’exception des remboursements de frais de déplacement (colonne 3.1.1.2.)</t>
    </r>
  </si>
  <si>
    <r>
      <t>*</t>
    </r>
    <r>
      <rPr>
        <sz val="10"/>
        <rFont val="Arial"/>
        <family val="2"/>
      </rPr>
      <t xml:space="preserve"> la nouvelle bonification indiciaire</t>
    </r>
    <r>
      <rPr>
        <b/>
        <sz val="10"/>
        <rFont val="Arial"/>
        <family val="2"/>
        <charset val="1"/>
      </rPr>
      <t xml:space="preserve"> (NBI</t>
    </r>
    <r>
      <rPr>
        <sz val="10"/>
        <rFont val="Arial"/>
        <family val="2"/>
      </rPr>
      <t xml:space="preserve"> ; colonne 3.1.1.3)</t>
    </r>
  </si>
  <si>
    <r>
      <t>*</t>
    </r>
    <r>
      <rPr>
        <sz val="10"/>
        <rFont val="Arial"/>
        <family val="2"/>
      </rPr>
      <t xml:space="preserve"> les</t>
    </r>
    <r>
      <rPr>
        <b/>
        <sz val="10"/>
        <rFont val="Arial"/>
        <family val="2"/>
        <charset val="1"/>
      </rPr>
      <t xml:space="preserve"> heures supplémentaires ou complémentaires</t>
    </r>
    <r>
      <rPr>
        <sz val="10"/>
        <rFont val="Arial"/>
        <family val="2"/>
      </rPr>
      <t xml:space="preserve"> (colonne 3.1.1.4)</t>
    </r>
  </si>
  <si>
    <r>
      <t>*</t>
    </r>
    <r>
      <rPr>
        <sz val="10"/>
        <rFont val="Arial"/>
        <family val="2"/>
      </rPr>
      <t xml:space="preserve"> le</t>
    </r>
    <r>
      <rPr>
        <b/>
        <sz val="10"/>
        <rFont val="Arial"/>
        <family val="2"/>
        <charset val="1"/>
      </rPr>
      <t xml:space="preserve"> supplément familial de traitement</t>
    </r>
    <r>
      <rPr>
        <sz val="10"/>
        <rFont val="Arial"/>
        <family val="2"/>
      </rPr>
      <t xml:space="preserve"> (colonne 3.1.1.5)</t>
    </r>
  </si>
  <si>
    <r>
      <t>*</t>
    </r>
    <r>
      <rPr>
        <sz val="10"/>
        <rFont val="Arial"/>
        <family val="2"/>
      </rPr>
      <t xml:space="preserve"> les</t>
    </r>
    <r>
      <rPr>
        <b/>
        <sz val="10"/>
        <rFont val="Arial"/>
        <family val="2"/>
        <charset val="1"/>
      </rPr>
      <t xml:space="preserve"> indemnités de résidence</t>
    </r>
    <r>
      <rPr>
        <sz val="10"/>
        <rFont val="Arial"/>
        <family val="2"/>
      </rPr>
      <t xml:space="preserve"> (colonne 3.1.1.6)</t>
    </r>
  </si>
  <si>
    <r>
      <rPr>
        <sz val="10"/>
        <rFont val="Arial"/>
        <family val="2"/>
      </rPr>
      <t xml:space="preserve">Ces rémunérations, exprimées en euros (arrondies à l'euro supérieur), sont comptabilisées par </t>
    </r>
    <r>
      <rPr>
        <b/>
        <sz val="10"/>
        <rFont val="Arial"/>
        <family val="2"/>
        <charset val="1"/>
      </rPr>
      <t>filière</t>
    </r>
    <r>
      <rPr>
        <sz val="10"/>
        <rFont val="Arial"/>
        <family val="2"/>
      </rPr>
      <t xml:space="preserve"> croisée par la</t>
    </r>
    <r>
      <rPr>
        <b/>
        <sz val="10"/>
        <rFont val="Arial"/>
        <family val="2"/>
        <charset val="1"/>
      </rPr>
      <t xml:space="preserve"> catégorie</t>
    </r>
    <r>
      <rPr>
        <sz val="10"/>
        <rFont val="Arial"/>
        <family val="2"/>
      </rPr>
      <t xml:space="preserve"> (en lignes) selon le </t>
    </r>
    <r>
      <rPr>
        <b/>
        <sz val="10"/>
        <rFont val="Arial"/>
        <family val="2"/>
        <charset val="1"/>
      </rPr>
      <t>sexe</t>
    </r>
    <r>
      <rPr>
        <sz val="10"/>
        <rFont val="Arial"/>
        <family val="2"/>
      </rPr>
      <t xml:space="preserve"> (en colonnes).</t>
    </r>
  </si>
  <si>
    <r>
      <t>* les</t>
    </r>
    <r>
      <rPr>
        <b/>
        <sz val="10"/>
        <rFont val="Arial"/>
        <family val="2"/>
        <charset val="1"/>
      </rPr>
      <t xml:space="preserve"> contractuels occupant un emploi permanent</t>
    </r>
    <r>
      <rPr>
        <sz val="10"/>
        <rFont val="Arial"/>
        <family val="2"/>
      </rPr>
      <t xml:space="preserve"> </t>
    </r>
  </si>
  <si>
    <r>
      <t>*</t>
    </r>
    <r>
      <rPr>
        <sz val="10"/>
        <rFont val="Arial"/>
        <family val="2"/>
      </rPr>
      <t xml:space="preserve"> total des </t>
    </r>
    <r>
      <rPr>
        <b/>
        <sz val="10"/>
        <rFont val="Arial"/>
        <family val="2"/>
        <charset val="1"/>
      </rPr>
      <t>rémunérations annuelles brutes</t>
    </r>
    <r>
      <rPr>
        <sz val="10"/>
        <rFont val="Arial"/>
        <family val="2"/>
      </rPr>
      <t xml:space="preserve"> versées au cours de l’année (hors charges patronales ; colonne 3.2.1.1)</t>
    </r>
  </si>
  <si>
    <r>
      <t>*</t>
    </r>
    <r>
      <rPr>
        <sz val="10"/>
        <rFont val="Arial"/>
        <family val="2"/>
      </rPr>
      <t xml:space="preserve"> les </t>
    </r>
    <r>
      <rPr>
        <b/>
        <sz val="10"/>
        <rFont val="Arial"/>
        <family val="2"/>
        <charset val="1"/>
      </rPr>
      <t>primes et indemnités de toute nature</t>
    </r>
    <r>
      <rPr>
        <sz val="10"/>
        <rFont val="Arial"/>
        <family val="2"/>
      </rPr>
      <t xml:space="preserve"> (colonne 3.2.1.2)</t>
    </r>
  </si>
  <si>
    <r>
      <t>*</t>
    </r>
    <r>
      <rPr>
        <sz val="10"/>
        <rFont val="Arial"/>
        <family val="2"/>
      </rPr>
      <t xml:space="preserve"> les </t>
    </r>
    <r>
      <rPr>
        <b/>
        <sz val="10"/>
        <rFont val="Arial"/>
        <family val="2"/>
        <charset val="1"/>
      </rPr>
      <t>heures complémentaires et supplémentaires</t>
    </r>
    <r>
      <rPr>
        <sz val="10"/>
        <rFont val="Arial"/>
        <family val="2"/>
      </rPr>
      <t xml:space="preserve"> (colonne 3.2.1.3)</t>
    </r>
  </si>
  <si>
    <r>
      <t>* les agents</t>
    </r>
    <r>
      <rPr>
        <b/>
        <sz val="10"/>
        <rFont val="Arial"/>
        <family val="2"/>
        <charset val="1"/>
      </rPr>
      <t xml:space="preserve"> contractuels</t>
    </r>
    <r>
      <rPr>
        <sz val="10"/>
        <rFont val="Arial"/>
        <family val="2"/>
      </rPr>
      <t xml:space="preserve"> occupant un</t>
    </r>
    <r>
      <rPr>
        <b/>
        <sz val="10"/>
        <rFont val="Arial"/>
        <family val="2"/>
        <charset val="1"/>
      </rPr>
      <t xml:space="preserve"> emploi NON permanent</t>
    </r>
  </si>
  <si>
    <r>
      <rPr>
        <sz val="10"/>
        <rFont val="Arial"/>
        <family val="2"/>
      </rPr>
      <t xml:space="preserve">Ces rémunérations, exprimées en euros (arrondies à l'euro supérieur), sont comptabilisées par </t>
    </r>
    <r>
      <rPr>
        <b/>
        <sz val="10"/>
        <rFont val="Arial"/>
        <family val="2"/>
        <charset val="1"/>
      </rPr>
      <t>emplois NON permanents</t>
    </r>
    <r>
      <rPr>
        <sz val="10"/>
        <rFont val="Arial"/>
        <family val="2"/>
      </rPr>
      <t xml:space="preserve"> (en lignes) selon le </t>
    </r>
    <r>
      <rPr>
        <b/>
        <sz val="10"/>
        <rFont val="Arial"/>
        <family val="2"/>
        <charset val="1"/>
      </rPr>
      <t>sexe</t>
    </r>
    <r>
      <rPr>
        <sz val="10"/>
        <rFont val="Arial"/>
        <family val="2"/>
      </rPr>
      <t xml:space="preserve"> (en colonnes).</t>
    </r>
  </si>
  <si>
    <r>
      <rPr>
        <b/>
        <u/>
        <sz val="10"/>
        <rFont val="Arial"/>
        <family val="2"/>
        <charset val="1"/>
      </rPr>
      <t>3.4 - Indicateurs sur l'assurance chômage</t>
    </r>
    <r>
      <rPr>
        <b/>
        <i/>
        <u/>
        <sz val="10"/>
        <rFont val="Arial"/>
        <family val="2"/>
        <charset val="1"/>
      </rPr>
      <t xml:space="preserve"> </t>
    </r>
  </si>
  <si>
    <r>
      <t xml:space="preserve">Indiquer si vous êtes </t>
    </r>
    <r>
      <rPr>
        <sz val="10"/>
        <rFont val="Arial"/>
        <family val="2"/>
      </rPr>
      <t xml:space="preserve">en auto-assurance </t>
    </r>
    <r>
      <rPr>
        <b/>
        <sz val="10"/>
        <rFont val="Arial"/>
        <family val="2"/>
        <charset val="1"/>
      </rPr>
      <t>avec</t>
    </r>
    <r>
      <rPr>
        <sz val="10"/>
        <rFont val="Arial"/>
        <family val="2"/>
      </rPr>
      <t xml:space="preserve"> ou</t>
    </r>
    <r>
      <rPr>
        <b/>
        <sz val="10"/>
        <rFont val="Arial"/>
        <family val="2"/>
        <charset val="1"/>
      </rPr>
      <t xml:space="preserve"> sans</t>
    </r>
    <r>
      <rPr>
        <sz val="10"/>
        <rFont val="Arial"/>
        <family val="2"/>
      </rPr>
      <t xml:space="preserve"> </t>
    </r>
    <r>
      <rPr>
        <u/>
        <sz val="10"/>
        <rFont val="Arial"/>
        <family val="2"/>
        <charset val="1"/>
      </rPr>
      <t>convention de gestion avec Pôle Emploi</t>
    </r>
    <r>
      <rPr>
        <sz val="10"/>
        <rFont val="Arial"/>
        <family val="2"/>
      </rPr>
      <t>, à l'aide du menu déroulant.</t>
    </r>
  </si>
  <si>
    <r>
      <rPr>
        <sz val="10"/>
        <rFont val="Arial"/>
        <family val="2"/>
      </rPr>
      <t xml:space="preserve">Indiquer si vous êtes au auto-assurance </t>
    </r>
    <r>
      <rPr>
        <b/>
        <sz val="10"/>
        <rFont val="Arial"/>
        <family val="2"/>
        <charset val="1"/>
      </rPr>
      <t>avec</t>
    </r>
    <r>
      <rPr>
        <sz val="10"/>
        <rFont val="Arial"/>
        <family val="2"/>
      </rPr>
      <t xml:space="preserve"> ou</t>
    </r>
    <r>
      <rPr>
        <b/>
        <sz val="10"/>
        <rFont val="Arial"/>
        <family val="2"/>
        <charset val="1"/>
      </rPr>
      <t xml:space="preserve"> sans</t>
    </r>
    <r>
      <rPr>
        <sz val="10"/>
        <rFont val="Arial"/>
        <family val="2"/>
      </rPr>
      <t xml:space="preserve"> </t>
    </r>
    <r>
      <rPr>
        <u/>
        <sz val="10"/>
        <rFont val="Arial"/>
        <family val="2"/>
        <charset val="1"/>
      </rPr>
      <t>convention de gestion avec Pôle Emploi</t>
    </r>
    <r>
      <rPr>
        <sz val="10"/>
        <rFont val="Arial"/>
        <family val="2"/>
      </rPr>
      <t>, ou si vous avez adhéré au régime de l'</t>
    </r>
    <r>
      <rPr>
        <b/>
        <sz val="10"/>
        <rFont val="Arial"/>
        <family val="2"/>
        <charset val="1"/>
      </rPr>
      <t xml:space="preserve">assurance-chômage </t>
    </r>
    <r>
      <rPr>
        <sz val="10"/>
        <rFont val="Arial"/>
        <family val="2"/>
      </rPr>
      <t>à l'aide du menu déroulant.</t>
    </r>
  </si>
  <si>
    <r>
      <t>Adhésion au régime d'assurance chômage :</t>
    </r>
    <r>
      <rPr>
        <sz val="10"/>
        <rFont val="Arial"/>
        <family val="2"/>
      </rPr>
      <t xml:space="preserve"> la collectivité cotise à l'URSSAF (pour le compte de l'UNEDIC) pour ses contractuels. Pôle emploi (pour le compte de l'UNEDIC) assurera la gestion administrative et le versement de l'allocation aux bénéficiaires. Ce système n'est possible que pour les agents contractuels.  </t>
    </r>
  </si>
  <si>
    <t xml:space="preserve"> 3.4.3 - Maintien des primes en cas de congé de maladie ordinaire</t>
  </si>
  <si>
    <r>
      <t xml:space="preserve">Indiquer par oui ou par non si vous avez prévu le </t>
    </r>
    <r>
      <rPr>
        <b/>
        <sz val="10"/>
        <rFont val="Arial"/>
        <family val="2"/>
        <charset val="1"/>
      </rPr>
      <t>maintien des primes en cas de congé de maladie ordinaire</t>
    </r>
    <r>
      <rPr>
        <sz val="10"/>
        <rFont val="Arial"/>
        <family val="2"/>
      </rPr>
      <t>, à l'aide du menu déroulant.</t>
    </r>
  </si>
  <si>
    <t>4.1.4-4.1.6 Documents de prévention</t>
  </si>
  <si>
    <r>
      <t>En disponibilité (article 72) hors ceux mis en disponibilité d'office ou bénéficiaires d'un congé équivalent pour l</t>
    </r>
    <r>
      <rPr>
        <sz val="10"/>
        <rFont val="Arial"/>
        <family val="2"/>
      </rPr>
      <t xml:space="preserve">es contractuels
</t>
    </r>
    <r>
      <rPr>
        <i/>
        <sz val="10"/>
        <rFont val="Arial"/>
        <family val="2"/>
      </rPr>
      <t>Fonctionnaires et contractuels</t>
    </r>
  </si>
  <si>
    <r>
      <t xml:space="preserve">En disponibilité d'office ou bénéficiaires d'un congé équivalent
</t>
    </r>
    <r>
      <rPr>
        <i/>
        <sz val="9"/>
        <rFont val="Arial"/>
        <family val="2"/>
      </rPr>
      <t>Fonctionnaires et contractuels</t>
    </r>
  </si>
  <si>
    <r>
      <t xml:space="preserve">En position </t>
    </r>
    <r>
      <rPr>
        <b/>
        <sz val="9"/>
        <rFont val="Arial"/>
        <family val="2"/>
      </rPr>
      <t>hors cadres</t>
    </r>
    <r>
      <rPr>
        <sz val="9"/>
        <rFont val="Arial"/>
        <family val="2"/>
      </rPr>
      <t xml:space="preserve"> (article 70)
</t>
    </r>
    <r>
      <rPr>
        <i/>
        <sz val="9"/>
        <rFont val="Arial"/>
        <family val="2"/>
      </rPr>
      <t>Fonctionnaires uniquement</t>
    </r>
  </si>
  <si>
    <r>
      <t xml:space="preserve">En congé spécial </t>
    </r>
    <r>
      <rPr>
        <sz val="9"/>
        <rFont val="Arial"/>
        <family val="2"/>
      </rPr>
      <t xml:space="preserve">(article 99)
</t>
    </r>
    <r>
      <rPr>
        <i/>
        <sz val="9"/>
        <rFont val="Arial"/>
        <family val="2"/>
      </rPr>
      <t>Fonctionnaires uniquement</t>
    </r>
  </si>
  <si>
    <t>Dépenses d'aménagement des postes de travail effectuées pour maintenir dans leur emploi les agents reconnus inaptes à l'exercice de leurs fonctions dans les conditions réglementaires applicables à la fonction publique territoriale et qui n'appartiennent pas à l'une des catégories mentionnées à l'article 2 du décret.</t>
  </si>
  <si>
    <t>Sexe</t>
  </si>
  <si>
    <t>Age*</t>
  </si>
  <si>
    <t>Statut/Sexe</t>
  </si>
  <si>
    <t>AGE</t>
  </si>
  <si>
    <t>HOMMES</t>
  </si>
  <si>
    <t>moins de 25 ans</t>
  </si>
  <si>
    <t>25 à 29 ans</t>
  </si>
  <si>
    <t>30 à 34 ans</t>
  </si>
  <si>
    <t>1995 et années suivantes</t>
  </si>
  <si>
    <t>1990 à 1994</t>
  </si>
  <si>
    <t>1985 à 1989</t>
  </si>
  <si>
    <t>1980 à 1984</t>
  </si>
  <si>
    <t>1975 à 1979</t>
  </si>
  <si>
    <t>1970 à 1974</t>
  </si>
  <si>
    <t>1965 à 1969</t>
  </si>
  <si>
    <t>1960 à 1964</t>
  </si>
  <si>
    <t>1955 à 1959</t>
  </si>
  <si>
    <t>1954 et avant</t>
  </si>
  <si>
    <t>1.6.2 -Respect de l'obligation d'emploi : dépenses réalisées couvrant partiellement l'obligation d'emploi (ouvrant droit à réduction des unités manquantes) et taux d'emploi</t>
  </si>
  <si>
    <t xml:space="preserve">  - IND 1.6.2 - Respect des obligations d'emploi : dépenses couvrant partiellement l'obligation d'emploi et taux d'emploi</t>
  </si>
  <si>
    <r>
      <rPr>
        <b/>
        <sz val="9"/>
        <rFont val="Arial"/>
        <family val="2"/>
      </rPr>
      <t>Nombre de jours accordés</t>
    </r>
    <r>
      <rPr>
        <sz val="9"/>
        <rFont val="Arial"/>
        <family val="2"/>
      </rPr>
      <t xml:space="preserve"> à l'ensemble des agents (Exemple: 2 ponts = 2 jours)</t>
    </r>
  </si>
  <si>
    <r>
      <t xml:space="preserve">- Pour les agents à </t>
    </r>
    <r>
      <rPr>
        <i/>
        <u/>
        <sz val="9"/>
        <rFont val="Arial"/>
        <family val="2"/>
      </rPr>
      <t>employeurs multiples</t>
    </r>
    <r>
      <rPr>
        <i/>
        <sz val="9"/>
        <rFont val="Arial"/>
        <family val="2"/>
      </rPr>
      <t xml:space="preserve"> : saisir la </t>
    </r>
    <r>
      <rPr>
        <b/>
        <i/>
        <sz val="9"/>
        <rFont val="Arial"/>
        <family val="2"/>
      </rPr>
      <t>même période</t>
    </r>
    <r>
      <rPr>
        <i/>
        <sz val="9"/>
        <rFont val="Arial"/>
        <family val="2"/>
      </rPr>
      <t xml:space="preserve"> d'absence pour </t>
    </r>
    <r>
      <rPr>
        <b/>
        <i/>
        <sz val="9"/>
        <rFont val="Arial"/>
        <family val="2"/>
      </rPr>
      <t>tous les employeurs</t>
    </r>
    <r>
      <rPr>
        <i/>
        <sz val="9"/>
        <rFont val="Arial"/>
        <family val="2"/>
      </rPr>
      <t>.</t>
    </r>
  </si>
  <si>
    <r>
      <t>-</t>
    </r>
    <r>
      <rPr>
        <i/>
        <sz val="9"/>
        <rFont val="Arial"/>
        <family val="2"/>
      </rPr>
      <t xml:space="preserve"> Ne pas remplir les cellules grisées </t>
    </r>
  </si>
  <si>
    <t xml:space="preserve">  - IND 2.1.7 - Entretiens avant et après des congés de six mois ou plus</t>
  </si>
  <si>
    <t>Ils sont chargés de conseiller l'autorité terriroriale auprès de laquelle ils sont placés, dans la démarche d'évaluation des risques et dans la mise en place d'une politique de prévention des risques ainsi que dans la mise en oeuvre des règles de sécurité et d'hygiène au travail.</t>
  </si>
  <si>
    <t>Moins de 25 ans</t>
  </si>
  <si>
    <t>25 ans à 29 ans</t>
  </si>
  <si>
    <t>30 ans à 34 ans</t>
  </si>
  <si>
    <t>35 ans à 39 ans</t>
  </si>
  <si>
    <t>40 ans à 44 ans</t>
  </si>
  <si>
    <t>45 ans à 49 ans</t>
  </si>
  <si>
    <t>50 ans à 54 ans</t>
  </si>
  <si>
    <t>55 ans à 59 ans</t>
  </si>
  <si>
    <t>60 ans à 64 ans</t>
  </si>
  <si>
    <t>AgeMoins25</t>
  </si>
  <si>
    <t>Remplaçants</t>
  </si>
  <si>
    <t xml:space="preserve">  - IND 2.2.6 - Nombre de jours de carence par sexe, par catégorie hiérarchique et montants des sommes brutes retenues</t>
  </si>
  <si>
    <t>IND 2.2.7</t>
  </si>
  <si>
    <t>IND 2.2.6</t>
  </si>
  <si>
    <t>IND 3.1.1-3.4.3</t>
  </si>
  <si>
    <t>Quels sont les agents à recenser à l’indicateur 1.6.1 ?</t>
  </si>
  <si>
    <t>Que comptabilise-t-on ?</t>
  </si>
  <si>
    <r>
      <t xml:space="preserve">- les </t>
    </r>
    <r>
      <rPr>
        <b/>
        <i/>
        <sz val="10"/>
        <rFont val="Arial"/>
        <family val="2"/>
        <charset val="1"/>
      </rPr>
      <t>stagiaires nommés par détachement</t>
    </r>
    <r>
      <rPr>
        <i/>
        <sz val="10"/>
        <rFont val="Arial"/>
        <family val="2"/>
        <charset val="1"/>
      </rPr>
      <t xml:space="preserve"> (notamment suite à concours, promotion interne ou reclassement pour inaptitude physique), qui avaient auparavant la qualité de titulaires dans votre collectivité, doivent être </t>
    </r>
    <r>
      <rPr>
        <b/>
        <i/>
        <sz val="10"/>
        <rFont val="Arial"/>
        <family val="2"/>
        <charset val="1"/>
      </rPr>
      <t>recensés uniquement en qualité de stagiaires</t>
    </r>
    <r>
      <rPr>
        <i/>
        <sz val="10"/>
        <rFont val="Arial"/>
        <family val="2"/>
        <charset val="1"/>
      </rPr>
      <t>, et donc ne pas être comptés au titre de leur grade ou cadre d'emplois d'origine ;</t>
    </r>
  </si>
  <si>
    <r>
      <t xml:space="preserve">- les titulaires originaires d'autres collectivités ou structures, détachés dans la collectivité, doivent être recensés dans la filière, le </t>
    </r>
    <r>
      <rPr>
        <b/>
        <i/>
        <sz val="10"/>
        <rFont val="Arial"/>
        <family val="2"/>
        <charset val="1"/>
      </rPr>
      <t>cadre</t>
    </r>
    <r>
      <rPr>
        <i/>
        <sz val="10"/>
        <rFont val="Arial"/>
        <family val="2"/>
        <charset val="1"/>
      </rPr>
      <t>(s) d'emplois et grade correspondant à l'emploi dans lequel ils ont été nommés.</t>
    </r>
  </si>
  <si>
    <r>
      <rPr>
        <sz val="10"/>
        <rFont val="Arial"/>
        <family val="2"/>
      </rPr>
      <t xml:space="preserve">* selon les </t>
    </r>
    <r>
      <rPr>
        <b/>
        <sz val="10"/>
        <rFont val="Arial"/>
        <family val="2"/>
        <charset val="1"/>
      </rPr>
      <t>caractéristiques de leur emploi</t>
    </r>
    <r>
      <rPr>
        <sz val="10"/>
        <rFont val="Arial"/>
        <family val="2"/>
      </rPr>
      <t xml:space="preserve"> (temps complet ou non complet ; en colonnes) </t>
    </r>
  </si>
  <si>
    <r>
      <t xml:space="preserve">- </t>
    </r>
    <r>
      <rPr>
        <u/>
        <sz val="10"/>
        <rFont val="Arial"/>
        <family val="2"/>
      </rPr>
      <t>colonne 1.1.1(1)</t>
    </r>
    <r>
      <rPr>
        <sz val="10"/>
        <rFont val="Arial"/>
        <family val="2"/>
      </rPr>
      <t xml:space="preserve"> : effectif des fonctionnaires occupant un</t>
    </r>
    <r>
      <rPr>
        <b/>
        <sz val="10"/>
        <rFont val="Arial"/>
        <family val="2"/>
        <charset val="1"/>
      </rPr>
      <t xml:space="preserve"> emploi à temps complet</t>
    </r>
    <r>
      <rPr>
        <sz val="10"/>
        <rFont val="Arial"/>
        <family val="2"/>
      </rPr>
      <t xml:space="preserve">, qu’ils exercent à temps plein ou à temps partiel (ces derniers font l’objet d’un recensement détaillé à l’indicateur 1.1.2.) </t>
    </r>
  </si>
  <si>
    <r>
      <t xml:space="preserve">- </t>
    </r>
    <r>
      <rPr>
        <u/>
        <sz val="10"/>
        <rFont val="Arial"/>
        <family val="2"/>
      </rPr>
      <t>colonnes 1.1.1(2) à 1.1.1(4)</t>
    </r>
    <r>
      <rPr>
        <sz val="10"/>
        <rFont val="Arial"/>
        <family val="2"/>
      </rPr>
      <t xml:space="preserve"> : effectif des fonctionnaires occupant un emploi à temps NON complet (réf. : loi du 26 janvier 1984 - articles 104 à 108), décliné par durée hebdomadaire de service.</t>
    </r>
  </si>
  <si>
    <r>
      <rPr>
        <sz val="10"/>
        <rFont val="Arial"/>
        <family val="2"/>
      </rPr>
      <t>* puis par</t>
    </r>
    <r>
      <rPr>
        <b/>
        <sz val="10"/>
        <rFont val="Arial"/>
        <family val="2"/>
        <charset val="1"/>
      </rPr>
      <t xml:space="preserve"> sexe </t>
    </r>
    <r>
      <rPr>
        <sz val="10"/>
        <rFont val="Arial"/>
        <family val="2"/>
      </rPr>
      <t>(en colonnes)</t>
    </r>
  </si>
  <si>
    <r>
      <t>-</t>
    </r>
    <r>
      <rPr>
        <u/>
        <sz val="10"/>
        <rFont val="Arial"/>
        <family val="2"/>
      </rPr>
      <t xml:space="preserve"> colonne 1.1.1(5)</t>
    </r>
    <r>
      <rPr>
        <sz val="10"/>
        <rFont val="Arial"/>
        <family val="2"/>
      </rPr>
      <t xml:space="preserve"> : les </t>
    </r>
    <r>
      <rPr>
        <b/>
        <sz val="10"/>
        <rFont val="Arial"/>
        <family val="2"/>
        <charset val="1"/>
      </rPr>
      <t>hommes</t>
    </r>
  </si>
  <si>
    <r>
      <t xml:space="preserve">- </t>
    </r>
    <r>
      <rPr>
        <u/>
        <sz val="10"/>
        <rFont val="Arial"/>
        <family val="2"/>
      </rPr>
      <t>colonne 1.1.1(6)</t>
    </r>
    <r>
      <rPr>
        <sz val="10"/>
        <rFont val="Arial"/>
        <family val="2"/>
      </rPr>
      <t xml:space="preserve"> : les </t>
    </r>
    <r>
      <rPr>
        <b/>
        <sz val="10"/>
        <rFont val="Arial"/>
        <family val="2"/>
        <charset val="1"/>
      </rPr>
      <t>femmes</t>
    </r>
  </si>
  <si>
    <t xml:space="preserve"> par filière et cadre d'emplois, selon la quotité de temps de travail et le sexe</t>
  </si>
  <si>
    <t>Nombre de journées d'absence (en jours calendaires)</t>
  </si>
  <si>
    <t>Nombre d'arrêts**</t>
  </si>
  <si>
    <t>NbAgentsH</t>
  </si>
  <si>
    <t>NbAgentsF</t>
  </si>
  <si>
    <t>NbJoursH</t>
  </si>
  <si>
    <t>NbJoursF</t>
  </si>
  <si>
    <t>infirmier en soins généraux de classe normale</t>
  </si>
  <si>
    <t>TOB1</t>
  </si>
  <si>
    <t>Infirmier en soins généraux de classe normale stagiaire</t>
  </si>
  <si>
    <t>SOB1</t>
  </si>
  <si>
    <t>INFIRMIERS EN SOINS GENERAUX</t>
  </si>
  <si>
    <t>OB</t>
  </si>
  <si>
    <t>Infirmier de classe supérieure</t>
  </si>
  <si>
    <t>TON2</t>
  </si>
  <si>
    <t>Puis compléter l'indicateur 3.2.1 comme suit :</t>
  </si>
  <si>
    <t>- ces agents NE doivent PAS avoir été recensés à l’indicateur 1.2.1.</t>
  </si>
  <si>
    <t>sexe/emploi7</t>
  </si>
  <si>
    <t xml:space="preserve">Personnels employés dans le cadre du recours au service des entreprises (intérim) </t>
  </si>
  <si>
    <t>* Régime de retraite additionnel dans la fonction publique (Rafp).</t>
  </si>
  <si>
    <t>- d’un ergonome.</t>
  </si>
  <si>
    <t>Directeur départemental des services d'incendie et secours</t>
  </si>
  <si>
    <t>Directeur départemental adjoint des services d'incendie et secours</t>
  </si>
  <si>
    <t>16 - Syndicat de communes à vocation unique</t>
  </si>
  <si>
    <t>17 - Syndicat mixte</t>
  </si>
  <si>
    <t>18 - Pôle d'équilibre territorial et rural (PETR)</t>
  </si>
  <si>
    <t>19 - Office public de l'habitat (OPHLM - ODHLM)</t>
  </si>
  <si>
    <t>20 - Pôle métropolitain</t>
  </si>
  <si>
    <r>
      <t>4.2.2 - Les maladies professionnelles</t>
    </r>
    <r>
      <rPr>
        <b/>
        <sz val="9"/>
        <rFont val="Arial"/>
        <family val="2"/>
      </rPr>
      <t xml:space="preserve"> ou à caractère professionnel ou contractées en service</t>
    </r>
    <r>
      <rPr>
        <b/>
        <sz val="9"/>
        <rFont val="Arial"/>
        <family val="2"/>
      </rPr>
      <t>, par cadre d'emplois et par sexe</t>
    </r>
  </si>
  <si>
    <r>
      <rPr>
        <sz val="10"/>
        <rFont val="Arial"/>
        <family val="2"/>
      </rPr>
      <t>* par</t>
    </r>
    <r>
      <rPr>
        <b/>
        <sz val="10"/>
        <rFont val="Arial"/>
        <family val="2"/>
        <charset val="1"/>
      </rPr>
      <t xml:space="preserve"> type de recrutement :</t>
    </r>
  </si>
  <si>
    <t>Nombre total d'agents rémunérés et potentiellement soumis au jour de carence</t>
  </si>
  <si>
    <r>
      <t xml:space="preserve">2.3.1.5 il s'agit du nombre d'agents occupant un emploi à temps complet et exerçant leurs fonctions à temps partiel choisi </t>
    </r>
    <r>
      <rPr>
        <sz val="10"/>
        <rFont val="Arial"/>
        <family val="2"/>
      </rPr>
      <t>qui ne renouvellent pas leur demande de travail à temps partiel.</t>
    </r>
  </si>
  <si>
    <t>Il s'agit ici de savoir si la collectivité est assurée vis-à-vis des maintiens de traitement. Cela ne correspond pas aux mutuelles destinées aux agents.</t>
  </si>
  <si>
    <r>
      <t xml:space="preserve">* par </t>
    </r>
    <r>
      <rPr>
        <b/>
        <sz val="10"/>
        <rFont val="Arial"/>
        <family val="2"/>
        <charset val="1"/>
      </rPr>
      <t>catégorie</t>
    </r>
    <r>
      <rPr>
        <sz val="10"/>
        <rFont val="Arial"/>
        <family val="2"/>
      </rPr>
      <t xml:space="preserve"> et par </t>
    </r>
    <r>
      <rPr>
        <b/>
        <sz val="10"/>
        <rFont val="Arial"/>
        <family val="2"/>
        <charset val="1"/>
      </rPr>
      <t>sexe</t>
    </r>
    <r>
      <rPr>
        <sz val="10"/>
        <rFont val="Arial"/>
        <family val="2"/>
      </rPr>
      <t xml:space="preserve"> (en lignes)</t>
    </r>
  </si>
  <si>
    <r>
      <rPr>
        <sz val="10"/>
        <rFont val="Arial"/>
        <family val="2"/>
      </rPr>
      <t>*par</t>
    </r>
    <r>
      <rPr>
        <b/>
        <sz val="10"/>
        <rFont val="Arial"/>
        <family val="2"/>
        <charset val="1"/>
      </rPr>
      <t xml:space="preserve"> type de temps partiel</t>
    </r>
    <r>
      <rPr>
        <sz val="10"/>
        <rFont val="Arial"/>
        <family val="2"/>
      </rPr>
      <t xml:space="preserve"> concerné (en colonnes)</t>
    </r>
  </si>
  <si>
    <r>
      <t>- colonne 1.1.3(1) :</t>
    </r>
    <r>
      <rPr>
        <b/>
        <sz val="10"/>
        <rFont val="Arial"/>
        <family val="2"/>
        <charset val="1"/>
      </rPr>
      <t xml:space="preserve"> </t>
    </r>
    <r>
      <rPr>
        <sz val="10"/>
        <rFont val="Arial"/>
        <family val="2"/>
      </rPr>
      <t>temps partiel</t>
    </r>
    <r>
      <rPr>
        <b/>
        <sz val="10"/>
        <rFont val="Arial"/>
        <family val="2"/>
        <charset val="1"/>
      </rPr>
      <t xml:space="preserve"> de droit</t>
    </r>
  </si>
  <si>
    <r>
      <t xml:space="preserve">- colonne 1.1.3(2) : temps partiel </t>
    </r>
    <r>
      <rPr>
        <b/>
        <sz val="10"/>
        <rFont val="Arial"/>
        <family val="2"/>
        <charset val="1"/>
      </rPr>
      <t>sur autorisation</t>
    </r>
  </si>
  <si>
    <r>
      <t>(*) cf. art</t>
    </r>
    <r>
      <rPr>
        <sz val="10"/>
        <rFont val="Arial"/>
        <family val="2"/>
      </rPr>
      <t xml:space="preserve"> 1</t>
    </r>
    <r>
      <rPr>
        <vertAlign val="superscript"/>
        <sz val="10"/>
        <rFont val="Arial"/>
        <family val="2"/>
      </rPr>
      <t>er</t>
    </r>
    <r>
      <rPr>
        <sz val="10"/>
        <rFont val="Arial"/>
        <family val="2"/>
      </rPr>
      <t xml:space="preserve"> du </t>
    </r>
    <r>
      <rPr>
        <sz val="10"/>
        <rFont val="Arial"/>
        <family val="2"/>
      </rPr>
      <t>décret n° 2004-777 du 29 juillet 2004.</t>
    </r>
  </si>
  <si>
    <t xml:space="preserve"> par filière et cadre d'emplois, selon le type de contrat et le type de recrutement</t>
  </si>
  <si>
    <r>
      <rPr>
        <sz val="10"/>
        <rFont val="Arial"/>
        <family val="2"/>
      </rPr>
      <t>L’indicateur 1.2.1 recense les effectifs en nombre de personnes physiques</t>
    </r>
    <r>
      <rPr>
        <b/>
        <sz val="10"/>
        <rFont val="Arial"/>
        <family val="2"/>
        <charset val="1"/>
      </rPr>
      <t xml:space="preserve"> (1 personne = 1 unité).</t>
    </r>
  </si>
  <si>
    <r>
      <rPr>
        <sz val="10"/>
        <rFont val="Arial"/>
        <family val="2"/>
      </rPr>
      <t>Ne pas remplir</t>
    </r>
    <r>
      <rPr>
        <sz val="10"/>
        <rFont val="Arial"/>
        <family val="2"/>
      </rPr>
      <t xml:space="preserve"> les</t>
    </r>
    <r>
      <rPr>
        <sz val="10"/>
        <rFont val="Arial"/>
        <family val="2"/>
      </rPr>
      <t xml:space="preserve"> cellules grisées </t>
    </r>
    <r>
      <rPr>
        <sz val="10"/>
        <rFont val="Arial"/>
        <family val="2"/>
      </rPr>
      <t xml:space="preserve">(pré remplies par un zéro) </t>
    </r>
    <r>
      <rPr>
        <sz val="10"/>
        <rFont val="Arial"/>
        <family val="2"/>
      </rPr>
      <t>qui</t>
    </r>
    <r>
      <rPr>
        <sz val="10"/>
        <rFont val="Arial"/>
        <family val="2"/>
      </rPr>
      <t xml:space="preserve"> font l’objet de</t>
    </r>
    <r>
      <rPr>
        <sz val="10"/>
        <rFont val="Arial"/>
        <family val="2"/>
      </rPr>
      <t xml:space="preserve"> calculs automatiques.</t>
    </r>
  </si>
  <si>
    <r>
      <t>*</t>
    </r>
    <r>
      <rPr>
        <sz val="10"/>
        <rFont val="Arial"/>
        <family val="2"/>
      </rPr>
      <t xml:space="preserve"> les</t>
    </r>
    <r>
      <rPr>
        <b/>
        <sz val="10"/>
        <rFont val="Arial"/>
        <family val="2"/>
        <charset val="1"/>
      </rPr>
      <t xml:space="preserve"> agents contractuels </t>
    </r>
  </si>
  <si>
    <r>
      <rPr>
        <sz val="10"/>
        <rFont val="Arial"/>
        <family val="2"/>
      </rPr>
      <t>*</t>
    </r>
    <r>
      <rPr>
        <b/>
        <sz val="10"/>
        <rFont val="Arial"/>
        <family val="2"/>
        <charset val="1"/>
      </rPr>
      <t xml:space="preserve"> </t>
    </r>
    <r>
      <rPr>
        <sz val="10"/>
        <rFont val="Arial"/>
        <family val="2"/>
      </rPr>
      <t xml:space="preserve">recrutés sur un </t>
    </r>
    <r>
      <rPr>
        <b/>
        <sz val="10"/>
        <rFont val="Arial"/>
        <family val="2"/>
        <charset val="1"/>
      </rPr>
      <t xml:space="preserve">emploi permanent </t>
    </r>
  </si>
  <si>
    <t>5.1.1(8)</t>
  </si>
  <si>
    <t>5.1.1(9)</t>
  </si>
  <si>
    <t>5.1.1(10)</t>
  </si>
  <si>
    <t>5.1.2 (1)</t>
  </si>
  <si>
    <t>5.1.2(2)</t>
  </si>
  <si>
    <t>5.1.2(3)</t>
  </si>
  <si>
    <t xml:space="preserve">5.1.2(4) </t>
  </si>
  <si>
    <t xml:space="preserve">5.1.2(5) </t>
  </si>
  <si>
    <t xml:space="preserve">5.1.2(6) </t>
  </si>
  <si>
    <t>5.1.2(7)</t>
  </si>
  <si>
    <t>5.1.2(8)</t>
  </si>
  <si>
    <t>5.1.2(9)</t>
  </si>
  <si>
    <t>3.4.4.1</t>
  </si>
  <si>
    <t>3.4.4.2</t>
  </si>
  <si>
    <t>agents_securite</t>
  </si>
  <si>
    <t>Nombre de jours</t>
  </si>
  <si>
    <t>Formation obligatoire des agents assistants et conseillers chargés de la mise en œuvre des actions de prévention</t>
  </si>
  <si>
    <t>Les agents recensés dans les colonnes 1.2.1(1) à 1.2.1(9) sont à nouveau recensés dans les colonnes 1.2.1(10) et 1.2.1(11), tous cas de recrutement confondus. Par conséquent, le total de ces deux colonnes doit être égal à la colonne de total des colonnes 1.2.1(1) à 1.2.1(9).</t>
  </si>
  <si>
    <t>NOM DE LA COLLECTIVITE TERRITORIALE :</t>
  </si>
  <si>
    <t>Nom du correspondant :</t>
  </si>
  <si>
    <t>N° Département :</t>
  </si>
  <si>
    <t>Téléphone :</t>
  </si>
  <si>
    <t>4 - CONDITIONS DE TRAVAIL - HYGIENE ET SECURITE</t>
  </si>
  <si>
    <t xml:space="preserve">  - IND 4.1.1 - Agents affectés à la prévention</t>
  </si>
  <si>
    <t>Titularisations prononcées en application de l'article 38 de la loi n° 84-53 du 26 janvier 1984 (travailleurs en situation de handicap)</t>
  </si>
  <si>
    <t>4.1.4-4.1.6 Documents et démarches de prévention</t>
  </si>
  <si>
    <t>2.2.3.1</t>
  </si>
  <si>
    <t>2.2.3.2</t>
  </si>
  <si>
    <t>Nombre de jours accumulés</t>
  </si>
  <si>
    <t>2.2.3.3</t>
  </si>
  <si>
    <t>Tous emplois exerçant à</t>
  </si>
  <si>
    <t>Ancienneté
dans la collectivité</t>
  </si>
  <si>
    <t>Article 3-1</t>
  </si>
  <si>
    <t>Article 3-2</t>
  </si>
  <si>
    <t>Article 3-3, 1°</t>
  </si>
  <si>
    <t>Article 3-3, 2°</t>
  </si>
  <si>
    <t>01 - Région (y compris collectivités territoriales uniques de Martinique, de Guyane et de Corse)</t>
  </si>
  <si>
    <t>IND 1.2.1</t>
  </si>
  <si>
    <t>2</t>
  </si>
  <si>
    <t>position4</t>
  </si>
  <si>
    <t>Depuis moins d'1 an</t>
  </si>
  <si>
    <t>De 1 an à moins de 2 ans</t>
  </si>
  <si>
    <t>De 2 ans à moins de 5 ans</t>
  </si>
  <si>
    <t>5 ans et plus</t>
  </si>
  <si>
    <t>1.3.1 (1)  - Autres contractuels sur emploi non permanent en effectif physique</t>
  </si>
  <si>
    <t>Hommes 1.3.1(1.1)</t>
  </si>
  <si>
    <t>Femmes 1.3.1(1.2)</t>
  </si>
  <si>
    <t>Hommes 1.3.1(1.3)</t>
  </si>
  <si>
    <t>Femmes 1.3.1(1.4)</t>
  </si>
  <si>
    <t>Coûts des actions de formation prises en charge par les collectivités territoriales (coûts pédagogiques des actions organisées par les collectivités, frais d'inscription à des stages, colloques...) avec mention des versements au Centre national de la fonction publique territoriale au titre des actions organisées en partenariat.</t>
  </si>
  <si>
    <t>Pour les collectivités de 50 agents ou plus, et pour les centres de gestion</t>
  </si>
  <si>
    <t xml:space="preserve">              du comité technique *</t>
  </si>
  <si>
    <t xml:space="preserve">              des commissions administratives paritaires</t>
  </si>
  <si>
    <t>* pour les collectivités ayant un CT propre</t>
  </si>
  <si>
    <t>Disposez-vous d'un comité d'hygiène et de sécurité et condition de travail (CHSCT) au sein de votre collectivité?</t>
  </si>
  <si>
    <t>Si oui :</t>
  </si>
  <si>
    <t>A renseigner par les CDG et les collectivités non affiliées.</t>
  </si>
  <si>
    <t>droit syndic</t>
  </si>
  <si>
    <t>Journées d'autorisations spéciales d'absence accordées en application de l'article 16 du décret du 3 avril 1985</t>
  </si>
  <si>
    <t>Journées d'absence pour formation syndicale accordées aux fonctionnaires</t>
  </si>
  <si>
    <t>Retour Sommaire</t>
  </si>
  <si>
    <t>Quels sont les agents à recenser ?</t>
  </si>
  <si>
    <t>Comment sont-ils recensés ?</t>
  </si>
  <si>
    <t xml:space="preserve">Emplois fonctionnels </t>
  </si>
  <si>
    <t>Fonctionnaires de la fonction publique territoriale</t>
  </si>
  <si>
    <t>2.1.0 - Nombre de jours accordés pour l'ensemble des agents</t>
  </si>
  <si>
    <t xml:space="preserve"> * Quels jours d'absence doivent être recensés ? </t>
  </si>
  <si>
    <t>CA</t>
  </si>
  <si>
    <t xml:space="preserve">Bibliothécaire </t>
  </si>
  <si>
    <t>TCB1</t>
  </si>
  <si>
    <t>Bibliothécaire stagiaire</t>
  </si>
  <si>
    <t>SCB1</t>
  </si>
  <si>
    <t>BIBLIOTHECAIRES</t>
  </si>
  <si>
    <t>CB</t>
  </si>
  <si>
    <t>22 - Autre</t>
  </si>
  <si>
    <t>Pour maladie professionnelle ou à caractère professionnel ou contractée pendant le service</t>
  </si>
  <si>
    <t>. Agent pris en charge par le CNFPT ou le CDG</t>
  </si>
  <si>
    <t>. Autres cas (révocation, abandon de poste, perte de la nationalité française, etc.)</t>
  </si>
  <si>
    <t>Droits acquis (cycles de travail délibérés avant le 1er janvier 2002)</t>
  </si>
  <si>
    <t>1.7.1 (1)</t>
  </si>
  <si>
    <t>1.7.1 (2)</t>
  </si>
  <si>
    <t>1.7.1 (3)</t>
  </si>
  <si>
    <t>Contractuels occupant un emploi permanent</t>
  </si>
  <si>
    <t>Contractuels occupant un emploi non permanent</t>
  </si>
  <si>
    <t>11</t>
  </si>
  <si>
    <t>Personnes bénéficiant d'une rémunération accessoire autorisée par la réglementation sur le cumul des emplois</t>
  </si>
  <si>
    <t>Autres (agents non classables dans les catégories précédentes)</t>
  </si>
  <si>
    <t>Personnels remplaçants mis à disposition par le centre de gestion</t>
  </si>
  <si>
    <t>1.4.1 Nombre d'agents originaires de la collectivité</t>
  </si>
  <si>
    <t>position1</t>
  </si>
  <si>
    <r>
      <t xml:space="preserve">Détachés au sein de leur propre collectivité :
</t>
    </r>
    <r>
      <rPr>
        <i/>
        <sz val="9"/>
        <rFont val="Arial"/>
        <family val="2"/>
      </rPr>
      <t>Fonctionnaires uniquement</t>
    </r>
  </si>
  <si>
    <t>Détachés sur un emploi fonctionnel dans leur collectivité</t>
  </si>
  <si>
    <t>TAR3</t>
  </si>
  <si>
    <t>Rédacteur principal de 2ème classe</t>
  </si>
  <si>
    <t>TAR2</t>
  </si>
  <si>
    <t>Rédacteur principal de 2ème classe stagiaire</t>
  </si>
  <si>
    <t>SAR2</t>
  </si>
  <si>
    <t>Rédacteur</t>
  </si>
  <si>
    <t>TAR1</t>
  </si>
  <si>
    <t>Rédacteur stagiaire</t>
  </si>
  <si>
    <t>SAR1</t>
  </si>
  <si>
    <t>REDACTEURS</t>
  </si>
  <si>
    <t>AR</t>
  </si>
  <si>
    <t>Adjoint administratif principal de 1ère classe</t>
  </si>
  <si>
    <t>Adjoint administratif principal de 2ème classe</t>
  </si>
  <si>
    <t>TAJ3</t>
  </si>
  <si>
    <t>TAJ1</t>
  </si>
  <si>
    <t>SAJ1</t>
  </si>
  <si>
    <t>Nombre total de journées d'absence au titre des congés de paternité et d'accueil de l'enfant</t>
  </si>
  <si>
    <t>2.1.6 - Congés de solidarité familiale des FONCTIONNAIRES ET CONTRACTUELS,
par catégorie hiérarchique</t>
  </si>
  <si>
    <t xml:space="preserve">  - IND 2.1.6 -  Congés de solidarité familiale des FONCTIONNAIRES ET CONTRACTUELS, par catégorie hiérarchique</t>
  </si>
  <si>
    <t xml:space="preserve">  - IND 2.1.5 - Congés de présence parentale des FONCTIONNAIRES ET CONTRACTUELS, par catégorie hiérarchique</t>
  </si>
  <si>
    <t>Définition du télétravail : Article L. 1222-9 du Code du travail :
Sans préjudice de l'application, s'il y a lieu, des dispositions du présent code protégeant les travailleurs à domicile, le télétravail désigne toute forme d'organisation du travail dans laquelle un travail qui aurait également pu être exécuté dans les locaux de l'employeur est effectué par un salarié hors de ces locaux de façon (régulière et) volontaire en utilisant les technologies de l'information et de la communication. (dans le cadre d'un contrat de travail ou d'un avenant à celui-ci.)</t>
  </si>
  <si>
    <t>Article 133 de la loi du 12 mars 2012 :
Les fonctionnaires relevant de la loi n° 83-634 du 13 juillet 1983 portant droits et obligations des fonctionnaires peuvent exercer leurs fonctions dans le cadre du télétravail tel qu'il est défini au premier alinéa de l'article L. 1222-9 du code du travail. L'exercice des fonctions en télétravail est accordé à la demande du fonctionnaire et après accord du chef de service. Il peut y être mis fin à tout moment, sous réserve d'un délai de prévenance. Les fonctionnaires télétravailleurs bénéficient des droits prévus par la législation et la réglementation applicables aux agents exerçant leurs fonctions dans les locaux de leur employeur public.
Le présent article est applicable aux agents publics non fonctionnaires et aux magistrats. Un décret en Conseil d'Etat fixe, après concertation avec les organisations syndicales représentatives de la fonction publique, les conditions d'application du présent article, notamment en ce qui concerne les modalités d'organisation du télétravail et les conditions dans lesquelles la commission administrative paritaire compétente peut être saisie par le fonctionnaire intéressé en cas de refus opposé à sa demande de télétravail ainsi que les possibilités de recours ponctuel au télétravail.</t>
  </si>
  <si>
    <t>Conseillers** de prévention (ex-agents chargés de la mise en œuvre des actions de prévention dans la collectivité)</t>
  </si>
  <si>
    <t>categ</t>
  </si>
  <si>
    <t>1C</t>
  </si>
  <si>
    <t>1D</t>
  </si>
  <si>
    <t>1E</t>
  </si>
  <si>
    <t>1F</t>
  </si>
  <si>
    <t>1G</t>
  </si>
  <si>
    <t>1Z</t>
  </si>
  <si>
    <t>mouvement</t>
  </si>
  <si>
    <t>Retours d'agents en positions particulières ayant été rémunérés pendant la période d'absence</t>
  </si>
  <si>
    <t>(*) Décret n° 2008-580 du 18 juin 2008 relatif au régime de la mise à disposition applicable aux collectivités territoriales et aux établissements publics administratifs locaux.</t>
  </si>
  <si>
    <t>*Par exemple : fonction publique d'un Etat de l'Union européenne (FPEUE).</t>
  </si>
  <si>
    <t xml:space="preserve">ATTACHES DE CONSERVATION DU PATRIMOINE </t>
  </si>
  <si>
    <t>Assistants de conservation du patrimoine et des bibliothèques</t>
  </si>
  <si>
    <t>Assistants d'enseignement artistique</t>
  </si>
  <si>
    <t>Adjoints territoriaux du patrimoine</t>
  </si>
  <si>
    <t>Prestations servies via un Comité d'Œuvres Sociales</t>
  </si>
  <si>
    <t>7.1.3 - Aides à la garde d'enfants y compris accordées par un Comité d'Ouvres Sociales</t>
  </si>
  <si>
    <t>Votre collectivité a-t-elle des dispositifs directs ou via un Comité d'Oeuvres Sociales pour favoriser la garde d'enfants de ses agents ?</t>
  </si>
  <si>
    <t>Vacataires (hors jury de concours)</t>
  </si>
  <si>
    <t xml:space="preserve">                 - de droit</t>
  </si>
  <si>
    <t>Votre collectivité accorde-t-elle des journées de congés supplémentaires à l'ensemble de ses agents au-delà du nombre de jours de congés légal (exemples : journées liées aux traditions locales, journée du maire, ponts, etc.) hors droits acquis et jours de fractionnement ?</t>
  </si>
  <si>
    <t>Agents sur cycle hebdomadaire</t>
  </si>
  <si>
    <t>Cycle mensuel</t>
  </si>
  <si>
    <t>Cycle saisonnier</t>
  </si>
  <si>
    <t>Cycle annuel</t>
  </si>
  <si>
    <t>Autre cycle</t>
  </si>
  <si>
    <t>Agents sur emploi non permanent</t>
  </si>
  <si>
    <r>
      <rPr>
        <sz val="10"/>
        <rFont val="Arial"/>
        <family val="2"/>
      </rPr>
      <t xml:space="preserve">* occupant un </t>
    </r>
    <r>
      <rPr>
        <b/>
        <sz val="10"/>
        <rFont val="Arial"/>
        <family val="2"/>
        <charset val="1"/>
      </rPr>
      <t>emploi permanent à</t>
    </r>
    <r>
      <rPr>
        <b/>
        <u/>
        <sz val="10"/>
        <rFont val="Arial"/>
        <family val="2"/>
        <charset val="1"/>
      </rPr>
      <t xml:space="preserve"> temps complet </t>
    </r>
  </si>
  <si>
    <r>
      <rPr>
        <sz val="10"/>
        <rFont val="Arial"/>
        <family val="2"/>
      </rPr>
      <t>* et exerçant à</t>
    </r>
    <r>
      <rPr>
        <b/>
        <sz val="10"/>
        <rFont val="Arial"/>
        <family val="2"/>
        <charset val="1"/>
      </rPr>
      <t xml:space="preserve"> temps partiel </t>
    </r>
    <r>
      <rPr>
        <sz val="10"/>
        <rFont val="Arial"/>
        <family val="2"/>
      </rPr>
      <t xml:space="preserve">sous les formes particulières </t>
    </r>
    <r>
      <rPr>
        <b/>
        <sz val="10"/>
        <rFont val="Arial"/>
        <family val="2"/>
        <charset val="1"/>
      </rPr>
      <t>:</t>
    </r>
  </si>
  <si>
    <t>L’indicateur 1.5.0. recense les effectifs en nombre de personnes physiques (1 personne = 1 unité).</t>
  </si>
  <si>
    <t>Fonctionnaires titulaires</t>
  </si>
  <si>
    <t>Si OUI</t>
  </si>
  <si>
    <t>En nombre de bénéficaires</t>
  </si>
  <si>
    <t>En montant des participations (en €)</t>
  </si>
  <si>
    <r>
      <t xml:space="preserve">En congé parental (article 75)
Fonctionnaires </t>
    </r>
    <r>
      <rPr>
        <i/>
        <sz val="9"/>
        <color indexed="8"/>
        <rFont val="Arial"/>
        <family val="2"/>
      </rPr>
      <t>et contractuels</t>
    </r>
  </si>
  <si>
    <t>Quels sont les personnels à prendre en compte à l’indicateur 3.1.1. ?</t>
  </si>
  <si>
    <t>5 - FORMATION</t>
  </si>
  <si>
    <t>6 - 7 - DROITS SOCIAUX</t>
  </si>
  <si>
    <t xml:space="preserve">  - IND 7.1.1 - Œuvres sociales à destination du personnel ou de leurs familles</t>
  </si>
  <si>
    <t xml:space="preserve">  - IND 7.1.3 - Aides à la garde d'enfants</t>
  </si>
  <si>
    <t>Infirmiers en soins généraux</t>
  </si>
  <si>
    <t>Lieutenant hors classe</t>
  </si>
  <si>
    <t>TRL3</t>
  </si>
  <si>
    <t>Lieutenant de 1ère classe</t>
  </si>
  <si>
    <t>TRL2</t>
  </si>
  <si>
    <t>Lieutenant de 1ère classe stagiaire</t>
  </si>
  <si>
    <t>SRL2</t>
  </si>
  <si>
    <t xml:space="preserve">Lieutenant de 2ème classe </t>
  </si>
  <si>
    <t>TRL1</t>
  </si>
  <si>
    <t>Lieutenant de 2ème classe stagiaire</t>
  </si>
  <si>
    <t>SRL1</t>
  </si>
  <si>
    <t>LIEUTENANTS</t>
  </si>
  <si>
    <t>RL</t>
  </si>
  <si>
    <t>Adjudant</t>
  </si>
  <si>
    <t>TRS2</t>
  </si>
  <si>
    <t>Sergent</t>
  </si>
  <si>
    <t>TRS1</t>
  </si>
  <si>
    <t>Sergent stagiaire</t>
  </si>
  <si>
    <t>SRS1</t>
  </si>
  <si>
    <t xml:space="preserve">SOUS-OFFICIERS DE SAPEURS POMPIERS PROFESSIONNELS </t>
  </si>
  <si>
    <t>RS</t>
  </si>
  <si>
    <t>Caporal-chef</t>
  </si>
  <si>
    <t>TRU4</t>
  </si>
  <si>
    <t>Caporal</t>
  </si>
  <si>
    <t>TRU3</t>
  </si>
  <si>
    <t xml:space="preserve">SAPEURS ET CAPORAUX DE SAPEURS POMPIERS PROFESSIONNELS </t>
  </si>
  <si>
    <t>RU</t>
  </si>
  <si>
    <t>FILIERE INCENDIE-SECOURS</t>
  </si>
  <si>
    <t>R</t>
  </si>
  <si>
    <t>FILIERE ANIMATION</t>
  </si>
  <si>
    <t>Animateur principal de 1ère classe</t>
  </si>
  <si>
    <t>TNN3</t>
  </si>
  <si>
    <t>Animateur principal de 2ème classe</t>
  </si>
  <si>
    <t>TNN2</t>
  </si>
  <si>
    <t>Animateur principal de 2ème classe stagiaire</t>
  </si>
  <si>
    <t>SNN2</t>
  </si>
  <si>
    <t xml:space="preserve">Animateur </t>
  </si>
  <si>
    <t>TNN1</t>
  </si>
  <si>
    <t>carence</t>
  </si>
  <si>
    <t>Le nombre de journées de formation correspondant au stage sera égal à 24,5. Additionné aux autres journées, le résultat final sera de 74,5 à arrondir à 75.</t>
  </si>
  <si>
    <t xml:space="preserve">     - formation de professionnalisation.</t>
  </si>
  <si>
    <t>INGENIEURS EN CHEF</t>
  </si>
  <si>
    <t>Ingénieur général</t>
  </si>
  <si>
    <t>Ingénieur en chef hors classe</t>
  </si>
  <si>
    <t>Ingénieur en chef</t>
  </si>
  <si>
    <t>Ingénieur hors classe</t>
  </si>
  <si>
    <t>CADRES DE SANTE PARAMEDICAUX</t>
  </si>
  <si>
    <t>Cadre supérieur de santé</t>
  </si>
  <si>
    <t>Capitaine stagiaire</t>
  </si>
  <si>
    <t>Médecin et pharmacien de classe normale</t>
  </si>
  <si>
    <t>CADRES DE SANTE DES SAPEURS POMPIERS PROFESSIONNELS</t>
  </si>
  <si>
    <t>2.2.5 Charte du temps</t>
  </si>
  <si>
    <t xml:space="preserve"> 2.3.1 - Informations relatives au temps partiel prévu par l'article 60 de la loi n° 84-53 du 26 janvier 1984</t>
  </si>
  <si>
    <t>sexe/demande</t>
  </si>
  <si>
    <t>2.3.1.1</t>
  </si>
  <si>
    <t>Nombre de demandes présentées</t>
  </si>
  <si>
    <t>Conseillers des APS</t>
  </si>
  <si>
    <t>Educateurs des APS</t>
  </si>
  <si>
    <t>Opérateurs des APS</t>
  </si>
  <si>
    <t>Conseillers socio-éducatifs</t>
  </si>
  <si>
    <t>Assistants socio-éducatifs</t>
  </si>
  <si>
    <t>Educateurs de jeunes enfants</t>
  </si>
  <si>
    <r>
      <rPr>
        <b/>
        <i/>
        <sz val="9"/>
        <color indexed="10"/>
        <rFont val="Arial"/>
        <family val="2"/>
      </rPr>
      <t>Remarque :</t>
    </r>
    <r>
      <rPr>
        <i/>
        <sz val="9"/>
        <color indexed="10"/>
        <rFont val="Arial"/>
        <family val="2"/>
      </rPr>
      <t xml:space="preserve"> </t>
    </r>
    <r>
      <rPr>
        <b/>
        <i/>
        <sz val="9"/>
        <rFont val="Arial"/>
        <family val="2"/>
      </rPr>
      <t>Ne pas remplir</t>
    </r>
    <r>
      <rPr>
        <i/>
        <sz val="9"/>
        <rFont val="Arial"/>
        <family val="2"/>
      </rPr>
      <t xml:space="preserve"> les </t>
    </r>
    <r>
      <rPr>
        <b/>
        <i/>
        <sz val="9"/>
        <rFont val="Arial"/>
        <family val="2"/>
      </rPr>
      <t xml:space="preserve">cellules grisées </t>
    </r>
    <r>
      <rPr>
        <i/>
        <sz val="9"/>
        <rFont val="Arial"/>
        <family val="2"/>
      </rPr>
      <t xml:space="preserve">(pré remplies par un zéro) qui font l’objet de </t>
    </r>
    <r>
      <rPr>
        <b/>
        <i/>
        <sz val="9"/>
        <rFont val="Arial"/>
        <family val="2"/>
      </rPr>
      <t>calculs automatiques</t>
    </r>
    <r>
      <rPr>
        <i/>
        <sz val="9"/>
        <rFont val="Arial"/>
        <family val="2"/>
      </rPr>
      <t xml:space="preserve">. </t>
    </r>
  </si>
  <si>
    <t>PUERICULTRICES (décret n° 92-859 du 28 août 1992 modifié) *</t>
  </si>
  <si>
    <t>OP</t>
  </si>
  <si>
    <t>Nombre de protocoles d'accords (avec seuil complémentaire)</t>
  </si>
  <si>
    <t>Cessations collectives et concertées du travail</t>
  </si>
  <si>
    <t xml:space="preserve">          - sur mot d'ordre uniquement local </t>
  </si>
  <si>
    <t xml:space="preserve">          - non précisé, autres</t>
  </si>
  <si>
    <t>Ne sait pas</t>
  </si>
  <si>
    <t>Non</t>
  </si>
  <si>
    <t>Oui</t>
  </si>
  <si>
    <t>En cours</t>
  </si>
  <si>
    <t>remu</t>
  </si>
  <si>
    <t>remu2</t>
  </si>
  <si>
    <t>emploi6</t>
  </si>
  <si>
    <t>Montant
en euros
(arrondi à l'euro supérieur)</t>
  </si>
  <si>
    <t>action</t>
  </si>
  <si>
    <t>IND 4.1.1-4.1.2</t>
  </si>
  <si>
    <t>3 - REMUNERATIONS</t>
  </si>
  <si>
    <t>Exemples de mouvements au sein de la collectivité</t>
  </si>
  <si>
    <t>Code couleur</t>
  </si>
  <si>
    <t>Motif de départ définitif ou "temporaire"</t>
  </si>
  <si>
    <t>Contractuels sur emploi permanent</t>
  </si>
  <si>
    <t xml:space="preserve">Contractuels
</t>
  </si>
  <si>
    <t>Autres cas</t>
  </si>
  <si>
    <t>Exclusion temporaire de fonctions pour une durée de 4 à 15 jours</t>
  </si>
  <si>
    <t>Rétrogradation</t>
  </si>
  <si>
    <t>Exclusion temporaire de fonctions pour une durée de 16 jours à 2 ans</t>
  </si>
  <si>
    <t>Mise à la retraite d'office</t>
  </si>
  <si>
    <t>Révocation</t>
  </si>
  <si>
    <t>Sanctions du 2ème groupe :</t>
  </si>
  <si>
    <t>Sanctions du 3ème groupe :</t>
  </si>
  <si>
    <t>Sanctions du 4ème groupe :</t>
  </si>
  <si>
    <t>dont cycles de travail délibérés avant le 1er janvier 2002</t>
  </si>
  <si>
    <t>IND 4.1.3</t>
  </si>
  <si>
    <t>IND 4.2.1</t>
  </si>
  <si>
    <t>IND 4.2.2</t>
  </si>
  <si>
    <t>IND 4.2.3</t>
  </si>
  <si>
    <t>IND 4.3.1</t>
  </si>
  <si>
    <t>IND 4.2.4</t>
  </si>
  <si>
    <t>Fiche 5.1.1-5.1.4</t>
  </si>
  <si>
    <t>IND 5.1.1</t>
  </si>
  <si>
    <t>IND 5.1.2</t>
  </si>
  <si>
    <t>IND 5.1.4</t>
  </si>
  <si>
    <t>IND 6.1.1-6.1.3</t>
  </si>
  <si>
    <t>Fiche 5.1.1-5.1.4 - Formation</t>
  </si>
  <si>
    <t xml:space="preserve">  - IND 6.1.1 - Réunions statutaires</t>
  </si>
  <si>
    <t xml:space="preserve">  - IND 6.1.2 - Droits syndicaux</t>
  </si>
  <si>
    <t xml:space="preserve">  - IND 6.1.3 - Conflits du travail : grèves</t>
  </si>
  <si>
    <t>Fiche 7.1.1-7.1.4</t>
  </si>
  <si>
    <t>Sommaire</t>
  </si>
  <si>
    <t>Autre collectivité</t>
  </si>
  <si>
    <t>Adjoints techniques</t>
  </si>
  <si>
    <t>Filières</t>
  </si>
  <si>
    <r>
      <t xml:space="preserve">Nombre de contractuels en Equivalent Temps Plein Rémunéré (ETPR) ayant travaillé au moins un jour 
</t>
    </r>
    <r>
      <rPr>
        <sz val="10"/>
        <rFont val="Arial"/>
        <family val="2"/>
      </rPr>
      <t>(Contractuels sur emplois permanents)</t>
    </r>
  </si>
  <si>
    <r>
      <t>Ne pas remplir</t>
    </r>
    <r>
      <rPr>
        <b/>
        <sz val="10"/>
        <rFont val="Arial"/>
        <family val="2"/>
      </rPr>
      <t xml:space="preserve"> </t>
    </r>
    <r>
      <rPr>
        <sz val="10"/>
        <rFont val="Arial"/>
        <family val="2"/>
      </rPr>
      <t>les</t>
    </r>
    <r>
      <rPr>
        <b/>
        <sz val="10"/>
        <rFont val="Arial"/>
        <family val="2"/>
      </rPr>
      <t xml:space="preserve"> cellules grisées</t>
    </r>
    <r>
      <rPr>
        <sz val="10"/>
        <rFont val="Arial"/>
        <family val="2"/>
      </rPr>
      <t xml:space="preserve"> (pré remplies par un zéro)</t>
    </r>
    <r>
      <rPr>
        <b/>
        <sz val="10"/>
        <rFont val="Arial"/>
        <family val="2"/>
      </rPr>
      <t xml:space="preserve"> </t>
    </r>
    <r>
      <rPr>
        <sz val="10"/>
        <rFont val="Arial"/>
        <family val="2"/>
      </rPr>
      <t>qui font l’objet de</t>
    </r>
    <r>
      <rPr>
        <b/>
        <sz val="10"/>
        <rFont val="Arial"/>
        <family val="2"/>
      </rPr>
      <t xml:space="preserve"> calculs automatiques.</t>
    </r>
  </si>
  <si>
    <t>Temps de travail hebdomadaire</t>
  </si>
  <si>
    <t xml:space="preserve">dont disponibilité de droit                                      </t>
  </si>
  <si>
    <r>
      <t>1.4.4 Fonctionnaires pris en charge par</t>
    </r>
    <r>
      <rPr>
        <b/>
        <u/>
        <sz val="9"/>
        <color indexed="10"/>
        <rFont val="Arial"/>
        <family val="2"/>
      </rPr>
      <t xml:space="preserve"> </t>
    </r>
    <r>
      <rPr>
        <b/>
        <sz val="9"/>
        <rFont val="Arial"/>
        <family val="2"/>
      </rPr>
      <t>le CDG ou le CNFPT (articles 53 et 97)</t>
    </r>
    <r>
      <rPr>
        <b/>
        <sz val="9"/>
        <color indexed="17"/>
        <rFont val="Arial"/>
        <family val="2"/>
      </rPr>
      <t xml:space="preserve"> </t>
    </r>
  </si>
  <si>
    <r>
      <t xml:space="preserve">Nombre de jours d'arrêt dans l'année dus à des MP </t>
    </r>
    <r>
      <rPr>
        <b/>
        <sz val="9"/>
        <rFont val="Arial"/>
        <family val="2"/>
      </rPr>
      <t>reconnues dans les années antérieures</t>
    </r>
    <r>
      <rPr>
        <sz val="9"/>
        <rFont val="Arial"/>
        <family val="2"/>
      </rPr>
      <t xml:space="preserve"> en fonction du sexe</t>
    </r>
  </si>
  <si>
    <t>Nombre de premières demandes satisfaites</t>
  </si>
  <si>
    <t>PDS</t>
  </si>
  <si>
    <t>2.3.1.4</t>
  </si>
  <si>
    <t>Nombre de modifications de quotités</t>
  </si>
  <si>
    <t>MOQ</t>
  </si>
  <si>
    <t>2.3.1.5</t>
  </si>
  <si>
    <t>Nombre de retours au temps plein</t>
  </si>
  <si>
    <t>RTP</t>
  </si>
  <si>
    <t>Educateur stagiaire</t>
  </si>
  <si>
    <t>SSE1</t>
  </si>
  <si>
    <t>EDUCATEURS DES APS</t>
  </si>
  <si>
    <t>SE</t>
  </si>
  <si>
    <t>Opérateur principal</t>
  </si>
  <si>
    <t>TSP4</t>
  </si>
  <si>
    <t>Opérateur qualifié</t>
  </si>
  <si>
    <t>TSP3</t>
  </si>
  <si>
    <t xml:space="preserve">Opérateur </t>
  </si>
  <si>
    <t>TSP2</t>
  </si>
  <si>
    <t>OPERATEURS DES APS</t>
  </si>
  <si>
    <t>SP</t>
  </si>
  <si>
    <t>S</t>
  </si>
  <si>
    <t>FILIERE SOCIALE</t>
  </si>
  <si>
    <t>Conseiller supérieur socio-éducatif</t>
  </si>
  <si>
    <t>TMM2</t>
  </si>
  <si>
    <t>Conseiller socio-éducatif</t>
  </si>
  <si>
    <t>TMM1</t>
  </si>
  <si>
    <t>Conseiller socio-éducatif stagiaire</t>
  </si>
  <si>
    <t>SMM1</t>
  </si>
  <si>
    <t>CONSEILLERS SOCIO-EDUCATIFS</t>
  </si>
  <si>
    <t>MM</t>
  </si>
  <si>
    <t>ASSISTANTS SOCIO-EDUCATIFS</t>
  </si>
  <si>
    <t>Cadre de santé de 1ère classe</t>
  </si>
  <si>
    <t>Cadre de santé de 2ème classe</t>
  </si>
  <si>
    <t>Cadre de santé de 2ème classe stagiaire</t>
  </si>
  <si>
    <t>Infirmier hors classe</t>
  </si>
  <si>
    <t>orga/categ</t>
  </si>
  <si>
    <t>form/agent/emploi</t>
  </si>
  <si>
    <t xml:space="preserve">3.3.1 -  Rémunérations des agents sur emplois non permanents           </t>
  </si>
  <si>
    <t>Toutes catégories</t>
  </si>
  <si>
    <t>Suite à l'avancement de grade</t>
  </si>
  <si>
    <t>CATEGORIE A</t>
  </si>
  <si>
    <t>CATEGORIE B</t>
  </si>
  <si>
    <t>CATEGORIE C</t>
  </si>
  <si>
    <t>sexe/cadre</t>
  </si>
  <si>
    <t>acte</t>
  </si>
  <si>
    <t>dont formation d'intégration</t>
  </si>
  <si>
    <t>dont formation de professionnalisation</t>
  </si>
  <si>
    <t>CNFPT au-delà de la cotisation obligatoire (formations payantes)</t>
  </si>
  <si>
    <r>
      <t xml:space="preserve">Pour les </t>
    </r>
    <r>
      <rPr>
        <i/>
        <u/>
        <sz val="9"/>
        <rFont val="Arial"/>
        <family val="2"/>
      </rPr>
      <t>arrêts de travail d'une durée inférieure à la journée</t>
    </r>
    <r>
      <rPr>
        <i/>
        <sz val="9"/>
        <rFont val="Arial"/>
        <family val="2"/>
      </rPr>
      <t>, ramener au nombre de journées - agents sur la base de 7h pour une journée : 7 agents faisant grève 1 heure représentent 1 journée.</t>
    </r>
  </si>
  <si>
    <t>conflit</t>
  </si>
  <si>
    <t>99</t>
  </si>
  <si>
    <t>sanction</t>
  </si>
  <si>
    <t>20</t>
  </si>
  <si>
    <t>21</t>
  </si>
  <si>
    <t>30</t>
  </si>
  <si>
    <t>32</t>
  </si>
  <si>
    <t>compl</t>
  </si>
  <si>
    <t>eff3</t>
  </si>
  <si>
    <t>Une charte du temps vise à une meilleure articulation entre vie personnelle et professionnelle. Elle décrit les modalités d'organisation du travail au sein de la collectivité en prenant en compte les nécessités d'organisation du travail et les souhaits des personnels en concertation avec les représentants du personnel et l'encadrement. Voir circulaire du 8 juillet 2013 relative à la mise en oeuvre du protocole d'accord du 8 mars 2013 sur l'égalité professionnelle entre les femmes et les hommes, ainsi que la circulaire du 31 mars 2017 relative à l'application des règles en matière de temps de travail dans les trois versants de la fonction publique.</t>
  </si>
  <si>
    <t xml:space="preserve">3.1.1 et 3.2.1 - Rémunérations brutes des fonctionnaires et des contractuels occupant un emploi permanent </t>
  </si>
  <si>
    <t>Puéricultrice de classe normale</t>
  </si>
  <si>
    <t>TOP1</t>
  </si>
  <si>
    <t>TTH4</t>
  </si>
  <si>
    <t>Adjoint technique principal de 2ème classe</t>
  </si>
  <si>
    <t>TTH3</t>
  </si>
  <si>
    <t>TTH1</t>
  </si>
  <si>
    <t>STH1</t>
  </si>
  <si>
    <t>ADJOINTS TECHNIQUES</t>
  </si>
  <si>
    <t>TH</t>
  </si>
  <si>
    <t>TTA4</t>
  </si>
  <si>
    <t>TTA3</t>
  </si>
  <si>
    <t>Adjoint technique principal de 2ème classe stagiaire</t>
  </si>
  <si>
    <t>STA3</t>
  </si>
  <si>
    <t>ADJOINTS TECHNIQUES DES ETABLISSEMENTS D'ENSEIGNEMENT</t>
  </si>
  <si>
    <t>TN</t>
  </si>
  <si>
    <t>T</t>
  </si>
  <si>
    <t>FILIERE CULTURELLE</t>
  </si>
  <si>
    <t>Conservateur en chef</t>
  </si>
  <si>
    <t>TCM3</t>
  </si>
  <si>
    <t xml:space="preserve">Conservateur </t>
  </si>
  <si>
    <t>TCM2</t>
  </si>
  <si>
    <t>Conservateur stagiaire</t>
  </si>
  <si>
    <t>SCM1</t>
  </si>
  <si>
    <t>CONSERVATEURS DU PATRIMOINE</t>
  </si>
  <si>
    <t>CM</t>
  </si>
  <si>
    <t>TCH2</t>
  </si>
  <si>
    <t>TCH1</t>
  </si>
  <si>
    <t>SCH1</t>
  </si>
  <si>
    <t>CONSERVATEURS DES BIBLIOTHEQUES</t>
  </si>
  <si>
    <t>CH</t>
  </si>
  <si>
    <t xml:space="preserve">Attaché de conservation du patrimoine </t>
  </si>
  <si>
    <t>TCA1</t>
  </si>
  <si>
    <t>Attaché de conservation du patrimoine stagiaire</t>
  </si>
  <si>
    <t>SCA1</t>
  </si>
  <si>
    <t>Lauréat nouvel arrivant dans la collectivité</t>
  </si>
  <si>
    <t>1.5.2 (0)</t>
  </si>
  <si>
    <t>1.5.2(11)</t>
  </si>
  <si>
    <t>1.5.2(15)</t>
  </si>
  <si>
    <t>1.5.2(16)</t>
  </si>
  <si>
    <t xml:space="preserve">Réintégration (agent non rémunéré pendant la période) </t>
  </si>
  <si>
    <t>Retours (agent rémunéré pendant la période)</t>
  </si>
  <si>
    <t>(vide)</t>
  </si>
  <si>
    <t>Dont apprentis</t>
  </si>
  <si>
    <t xml:space="preserve">  - IND 2.1.4 - Congés de paternité et d'accueil de l'enfant des agents FONCTIONNAIRES ET CONTRACTUELS, par catégorie hiérarchique</t>
  </si>
  <si>
    <t>Fiche 7.1.1 - 7.1.4 - Action sociale relevant de la collectivité et protection sociale complémentaire</t>
  </si>
  <si>
    <t>1.3.2  - Recours à du personnel temporaire (mis à disposition par CDG décliné par filière et intérim), selon le sexe</t>
  </si>
  <si>
    <r>
      <t>. Mise à disposition dans une autre collectivité 
ou structure (articles 25 et 61 de la loi du 26 janvier 1984 ;</t>
    </r>
    <r>
      <rPr>
        <i/>
        <sz val="9"/>
        <rFont val="Arial"/>
        <family val="2"/>
      </rPr>
      <t xml:space="preserve"> ne prendre en compte que les</t>
    </r>
    <r>
      <rPr>
        <b/>
        <i/>
        <sz val="9"/>
        <rFont val="Arial"/>
        <family val="2"/>
      </rPr>
      <t xml:space="preserve"> mises à disposition complètes</t>
    </r>
    <r>
      <rPr>
        <sz val="9"/>
        <rFont val="Arial"/>
        <family val="2"/>
      </rPr>
      <t>)</t>
    </r>
  </si>
  <si>
    <t>. Congé formation indemnisé par la collectivité (max 1 an ; article 57 - 6° de la loi du 26 janvier 1984)</t>
  </si>
  <si>
    <t>. Congé formation au-delà d'un an (article 57 - 6° de la loi du 26 janvier 1984)</t>
  </si>
  <si>
    <t>. Détachement dans une autre structure (fonction publique d'Etat, fonction publique hospitalière ; article 64 de la loi du 26 janvier 1984)</t>
  </si>
  <si>
    <t>. Mutation (changement de collectivité ; article 51 de la loi du 26 janvier 1984)</t>
  </si>
  <si>
    <t>. Décharge d'emploi et de fonctions pour exercice d'un mandat syndical</t>
  </si>
  <si>
    <r>
      <t xml:space="preserve">. Mise à disposition dans une autre collectivité 
ou structure  (articles 25 et 61 de la loi du 26 janvier 1984 ; </t>
    </r>
    <r>
      <rPr>
        <i/>
        <sz val="9"/>
        <rFont val="Arial"/>
        <family val="2"/>
      </rPr>
      <t>ne prendre en compte que les mises à disposition complètes - ne concerne que les</t>
    </r>
    <r>
      <rPr>
        <b/>
        <i/>
        <sz val="9"/>
        <rFont val="Arial"/>
        <family val="2"/>
      </rPr>
      <t xml:space="preserve"> agents en CDI</t>
    </r>
    <r>
      <rPr>
        <b/>
        <sz val="9"/>
        <rFont val="Arial"/>
        <family val="2"/>
      </rPr>
      <t>)</t>
    </r>
  </si>
  <si>
    <t>. Congé formation rémunéré par la collectivité (max 1 an ; article 57 - 6° de la loi du 26 janvier 1984)</t>
  </si>
  <si>
    <t>2.2.1 - 2.2.7 - Temps de travail</t>
  </si>
  <si>
    <t>Fiche 2.2.1 - 2.2.7 - Temps de travail</t>
  </si>
  <si>
    <t>Période de préparation au reclassement refusée par l'agent au cours de l'année</t>
  </si>
  <si>
    <r>
      <t xml:space="preserve">- si une personne a exercé au cours de </t>
    </r>
    <r>
      <rPr>
        <i/>
        <u/>
        <sz val="10"/>
        <rFont val="Arial"/>
        <family val="2"/>
      </rPr>
      <t>plusieurs périodes distinctes</t>
    </r>
    <r>
      <rPr>
        <i/>
        <sz val="10"/>
        <rFont val="Arial"/>
        <family val="2"/>
      </rPr>
      <t>, ne la compter qu’une fois dans les colonnes 1.3.2(3) ou 1.3.2(4).</t>
    </r>
  </si>
  <si>
    <t xml:space="preserve">- un agent à temps non complet (25 heures par semaine) et ayant été présent 4 mois sur l'année correspond à 0,24 ETPR &gt; calcul : (25 heures /35)*(4 mois /12) </t>
  </si>
  <si>
    <t xml:space="preserve">- un agent à temps partiel (80 %) étant repassé à temps plein le 1er juin 2017 correspond à 0,9 ETPR &gt; calcul : (0,8 *(5 mois /12)) + (1*(7 mois /12)) </t>
  </si>
  <si>
    <t>Remarques :</t>
  </si>
  <si>
    <t>Directeur général des services ou directeur</t>
  </si>
  <si>
    <t>TAU2</t>
  </si>
  <si>
    <t>Directeur général adjoint des services ou directeur adjoint</t>
  </si>
  <si>
    <t>TAU1</t>
  </si>
  <si>
    <t>Emplois fonctionnels techniques :</t>
  </si>
  <si>
    <t>Directeur général des services techniques</t>
  </si>
  <si>
    <t>TTU2</t>
  </si>
  <si>
    <t>Directeur des services techniques</t>
  </si>
  <si>
    <t>TTU1</t>
  </si>
  <si>
    <t>TOTAL EMPLOIS FONCTIONNELS</t>
  </si>
  <si>
    <t>00X3</t>
  </si>
  <si>
    <t>origine</t>
  </si>
  <si>
    <t>sexe</t>
  </si>
  <si>
    <t>Fonctionnaires issus d'une autre administration (FPE, FPH)</t>
  </si>
  <si>
    <t>Ne doivent pas être comptabilisés :</t>
  </si>
  <si>
    <t>Adjoints techniques des établissements d'enseignement</t>
  </si>
  <si>
    <t>Conservateurs du patrimoine</t>
  </si>
  <si>
    <t>Conservateurs des bibliothèques</t>
  </si>
  <si>
    <t>Attachés de conservation du patrimoine</t>
  </si>
  <si>
    <t>Bibliothécaires</t>
  </si>
  <si>
    <t>Compressible</t>
  </si>
  <si>
    <t>Medical</t>
  </si>
  <si>
    <t>Non-compressible</t>
  </si>
  <si>
    <t>Autres raisons</t>
  </si>
  <si>
    <t>Nombre d'agents</t>
  </si>
  <si>
    <t>CONTRACTUELS SUR EMPLOI PERMANENT</t>
  </si>
  <si>
    <t>Nouvel arrivant dans la collectivité</t>
  </si>
  <si>
    <t xml:space="preserve">                *  Dispose-t-elle de son propre CT ? </t>
  </si>
  <si>
    <t>Ingénieurs en chef</t>
  </si>
  <si>
    <t>Catégorie A selon les fonctions ou pour des besoins de service</t>
  </si>
  <si>
    <t>Secrétaire de mairie dans les communes et groupements de communes de moins de 1000 habitants</t>
  </si>
  <si>
    <t>Temps non complet des communes et groupements de communes de moins de 1000 hab., lorsque la quotité de temps de travail est inférieure à 50 %</t>
  </si>
  <si>
    <t>Communes de moins de 2000 hab. et groupements de communes de moins de 10 000 hab. dont la création ou la suppression dépend de la décision d'une autorité qui s'impose à la collectivité</t>
  </si>
  <si>
    <t>Moins de 3 ans</t>
  </si>
  <si>
    <t>de 3 ans à moins de 6 ans</t>
  </si>
  <si>
    <t>6 ans et plus</t>
  </si>
  <si>
    <t>1.2.1(1)</t>
  </si>
  <si>
    <t xml:space="preserve"> 1.2.1(2)</t>
  </si>
  <si>
    <r>
      <t>Attention :</t>
    </r>
    <r>
      <rPr>
        <b/>
        <sz val="10"/>
        <color indexed="10"/>
        <rFont val="Arial"/>
        <family val="2"/>
      </rPr>
      <t xml:space="preserve"> La structure du présent questionnaire ne doit en aucun cas être modifiée sous peine de compromettre le processus d'exportation.</t>
    </r>
  </si>
  <si>
    <t>Indicateur 3.1.1.</t>
  </si>
  <si>
    <t>Indicateur 3.2.1.</t>
  </si>
  <si>
    <t>Assistant de conservation principal de 2ème classe stagiaire</t>
  </si>
  <si>
    <t>Moniteur-éducateur et intervenant familial principal</t>
  </si>
  <si>
    <t>TMB2</t>
  </si>
  <si>
    <t xml:space="preserve">Moniteur-éducateur et intervenant familial </t>
  </si>
  <si>
    <t>TMB1</t>
  </si>
  <si>
    <t>Moniteur-éducateur et intervenant familial stagiaire</t>
  </si>
  <si>
    <t>SMB1</t>
  </si>
  <si>
    <t>MONITEURS EDUCATEURS ET INTERVENANTS FAMILIAUX</t>
  </si>
  <si>
    <t>MB</t>
  </si>
  <si>
    <t>Agent spécialisé principal de 1ère classe des écoles maternelles</t>
  </si>
  <si>
    <t>TMD3</t>
  </si>
  <si>
    <t>Agent spécialisé principal de 2ème classe des écoles maternelles</t>
  </si>
  <si>
    <t>TMD2</t>
  </si>
  <si>
    <t>ASEM</t>
  </si>
  <si>
    <t>MD</t>
  </si>
  <si>
    <t>Agent social principal de 1ère classe</t>
  </si>
  <si>
    <t>TMP4</t>
  </si>
  <si>
    <t>Agent social principal de 2ème classe</t>
  </si>
  <si>
    <t>TMP3</t>
  </si>
  <si>
    <t>TMP1</t>
  </si>
  <si>
    <t>SMP1</t>
  </si>
  <si>
    <t>AGENTS SOCIAUX</t>
  </si>
  <si>
    <t>Agents stagiaires titularisés à l'issue de leur stage</t>
  </si>
  <si>
    <t>Prolongation de stage</t>
  </si>
  <si>
    <t>Refus de titularisation</t>
  </si>
  <si>
    <t xml:space="preserve">             . avancement d'échelon</t>
  </si>
  <si>
    <t xml:space="preserve">             . avancement de grade</t>
  </si>
  <si>
    <t>maladie</t>
  </si>
  <si>
    <t>motif</t>
  </si>
  <si>
    <t>Collaborateurs de cabinet</t>
  </si>
  <si>
    <t>Article 3-3, 3°</t>
  </si>
  <si>
    <t>Quelles sont les rémunérations à récapituler à l’indicateur 3.3.1 ?</t>
  </si>
  <si>
    <r>
      <rPr>
        <b/>
        <sz val="10"/>
        <color indexed="10"/>
        <rFont val="Arial"/>
        <family val="2"/>
      </rPr>
      <t>Définition :</t>
    </r>
    <r>
      <rPr>
        <sz val="10"/>
        <rFont val="Arial"/>
        <family val="2"/>
      </rPr>
      <t xml:space="preserve"> l'</t>
    </r>
    <r>
      <rPr>
        <b/>
        <sz val="10"/>
        <rFont val="Arial"/>
        <family val="2"/>
      </rPr>
      <t xml:space="preserve">Equivalent Temps Plein Rémunéré </t>
    </r>
    <r>
      <rPr>
        <sz val="10"/>
        <rFont val="Arial"/>
        <family val="2"/>
      </rPr>
      <t>(ETPR) est proportionnel à l'</t>
    </r>
    <r>
      <rPr>
        <b/>
        <sz val="10"/>
        <rFont val="Arial"/>
        <family val="2"/>
      </rPr>
      <t>activité d'un agent</t>
    </r>
    <r>
      <rPr>
        <sz val="10"/>
        <rFont val="Arial"/>
        <family val="2"/>
      </rPr>
      <t xml:space="preserve">, mesuré par sa </t>
    </r>
    <r>
      <rPr>
        <b/>
        <sz val="10"/>
        <rFont val="Arial"/>
        <family val="2"/>
      </rPr>
      <t>quotité de temps de travail</t>
    </r>
    <r>
      <rPr>
        <sz val="10"/>
        <rFont val="Arial"/>
        <family val="2"/>
      </rPr>
      <t xml:space="preserve"> et par sa </t>
    </r>
    <r>
      <rPr>
        <b/>
        <sz val="10"/>
        <rFont val="Arial"/>
        <family val="2"/>
      </rPr>
      <t>période d'activité</t>
    </r>
    <r>
      <rPr>
        <sz val="10"/>
        <rFont val="Arial"/>
        <family val="2"/>
      </rPr>
      <t xml:space="preserve"> sur l'année. Par contre, il ne tient pas compte des heures supplémentaires et/ou complémentaires effectuées par l'agent.</t>
    </r>
  </si>
  <si>
    <t>Exemples :</t>
  </si>
  <si>
    <t>- un agent à temps plein rémunéré et présent toute l'année correspond à 1 ETPR, soit 1 820 heures</t>
  </si>
  <si>
    <t>- pour un  agent à temps complet, soit 1 820 heures travaillées &gt; 1 ETPR</t>
  </si>
  <si>
    <t xml:space="preserve">- pour un agent à temps non complet, par exemple à 1 204 heures travaillées &gt; 1 204 / 1 820 = 0,66 ETPR                      </t>
  </si>
  <si>
    <t>- un agent à temps partiel (80 %) présent toute l'année correspond à 0,8 ETPR</t>
  </si>
  <si>
    <r>
      <t>-</t>
    </r>
    <r>
      <rPr>
        <b/>
        <sz val="10"/>
        <color indexed="10"/>
        <rFont val="Arial"/>
        <family val="2"/>
      </rPr>
      <t xml:space="preserve"> </t>
    </r>
    <r>
      <rPr>
        <b/>
        <sz val="10"/>
        <color indexed="8"/>
        <rFont val="Arial"/>
        <family val="2"/>
      </rPr>
      <t>cas particulier des agents de la filière culturelle</t>
    </r>
    <r>
      <rPr>
        <b/>
        <sz val="10"/>
        <color indexed="10"/>
        <rFont val="Arial"/>
        <family val="2"/>
      </rPr>
      <t xml:space="preserve"> </t>
    </r>
    <r>
      <rPr>
        <sz val="10"/>
        <rFont val="Arial"/>
        <family val="2"/>
      </rPr>
      <t>: un(e) assistant(e) d'enseignement artistique travaillant 20h hebdomadaire (temps plein de référence)  correspond à 1 ETPR (base 35 heures rémunérées). Un(e) professeur(e) d'enseignement artistique travaillant 16h hebdomadaire (temps plein de référence) correspond à 1 ETPR.</t>
    </r>
  </si>
  <si>
    <t xml:space="preserve">- un agent à temps non complet (25 heures par semaine) et ayant été présent 4 mois sur l'année correspond à 0,24 ETPR    &gt; calcul : (25 heures /35)*(4 mois /12) </t>
  </si>
  <si>
    <t xml:space="preserve">- un agent à temps partiel (80 %) étant repassé à temps plein le 1er juin 2017 correspond à 0,9 ETPR                                 &gt; calcul : (0,8 *(5 mois /12)) + (1*(7 mois /12)) </t>
  </si>
  <si>
    <t>La collectivité peut apporter une participation à ses agents au titre des contrats et règlements de protection sociale complémentaire que ceux-ci souscrivent (santé, prévoyance). Le plafond est la cotisation payée par l'agent. La participation est versée soit directement à l'agent, soit via un organisme qui doit la répercuter à celui-ci.La participation doit respecter les conditions de solidarité et de procédure prévues à l'article 88-2 de la loi n° 84-53 du 26 janvier 1984 et le décret n° 2011-1474 du 8/11/2011 (circulaire du 25 mai 2012).</t>
  </si>
  <si>
    <t xml:space="preserve">6.1.4 - Nombre de sanctions disciplinaires prononcées dans l'année </t>
  </si>
  <si>
    <t>Quels sont les personnels à prendre en compte à l’indicateur 3.2.1. ?</t>
  </si>
  <si>
    <t>Nombre de jours accordés à l'ensemble des agents</t>
  </si>
  <si>
    <t xml:space="preserve">  - IND 1.4.3 - Nombre d'agents originaires d'une autre structure mis à disposition</t>
  </si>
  <si>
    <t>Secrétaires de mairie</t>
  </si>
  <si>
    <t>Rédacteurs</t>
  </si>
  <si>
    <t>Adjoints administratifs</t>
  </si>
  <si>
    <t>Agents de maîtrise</t>
  </si>
  <si>
    <t>Nombre de fonctionnaires ayant connu au cours de l'année un :</t>
  </si>
  <si>
    <t>Si oui, avez-vous délibéré sur la mise en place d'une part CIA ?</t>
  </si>
  <si>
    <t xml:space="preserve">  - IND 4.2.5 - Contrat d'assurance statutaire pour la prise en charge du risque maladie</t>
  </si>
  <si>
    <t>Nombre d'arrêts maladies (hors prolongations) soumis à la journée de carence</t>
  </si>
  <si>
    <t>Volume du contingent global d'heures d'autorisations d'absence calculé en application de l'article 14 du décret du 3 avril 1985</t>
  </si>
  <si>
    <r>
      <t>2.1.5 - Congés de présence parentale des FONCTIONNAIRES</t>
    </r>
    <r>
      <rPr>
        <b/>
        <sz val="9"/>
        <rFont val="Arial"/>
        <family val="2"/>
      </rPr>
      <t xml:space="preserve"> ET CONTRACTUELS,
par catégorie hiérarchique</t>
    </r>
  </si>
  <si>
    <t>XA</t>
  </si>
  <si>
    <t>XB</t>
  </si>
  <si>
    <t>XC</t>
  </si>
  <si>
    <t>MT</t>
  </si>
  <si>
    <t>ME</t>
  </si>
  <si>
    <t>TMT3</t>
  </si>
  <si>
    <t>TMT2</t>
  </si>
  <si>
    <t>TMT1</t>
  </si>
  <si>
    <t>SMT1</t>
  </si>
  <si>
    <t>TME3</t>
  </si>
  <si>
    <t>TME2</t>
  </si>
  <si>
    <t>TME1</t>
  </si>
  <si>
    <t>SME1</t>
  </si>
  <si>
    <t>Mis à disposition de votre collectivité</t>
  </si>
  <si>
    <t>Autres agents sur emploi non permanent (y compris collaborateurs de cabinet)</t>
  </si>
  <si>
    <t>Autres personnels affectés à la prévention (animateurs, formateurs prévention, personnes en charge de la prévention, …)</t>
  </si>
  <si>
    <t xml:space="preserve">  - IND 4.1.4 - IND 4.1.7 - Documents et démarches de prévention</t>
  </si>
  <si>
    <t>IND 4.1.4-4.1.7</t>
  </si>
  <si>
    <t>cadre1</t>
  </si>
  <si>
    <r>
      <rPr>
        <b/>
        <i/>
        <sz val="9"/>
        <color indexed="10"/>
        <rFont val="Arial"/>
        <family val="2"/>
      </rPr>
      <t>Précision :</t>
    </r>
    <r>
      <rPr>
        <i/>
        <sz val="9"/>
        <rFont val="Arial"/>
        <family val="2"/>
      </rPr>
      <t xml:space="preserve"> un agent ayant suivi plusieurs formations</t>
    </r>
    <r>
      <rPr>
        <i/>
        <u/>
        <sz val="9"/>
        <rFont val="Arial"/>
        <family val="2"/>
      </rPr>
      <t xml:space="preserve"> ne doit être saisi qu'une fois</t>
    </r>
    <r>
      <rPr>
        <i/>
        <sz val="9"/>
        <rFont val="Arial"/>
        <family val="2"/>
      </rPr>
      <t>.</t>
    </r>
  </si>
  <si>
    <r>
      <t xml:space="preserve">Rappel (cf. fiche 1.1.1) : </t>
    </r>
    <r>
      <rPr>
        <sz val="10"/>
        <rFont val="Arial"/>
        <family val="2"/>
      </rPr>
      <t xml:space="preserve">ne pas confondre </t>
    </r>
    <r>
      <rPr>
        <u/>
        <sz val="10"/>
        <rFont val="Arial"/>
        <family val="2"/>
      </rPr>
      <t>"temps non complet"</t>
    </r>
    <r>
      <rPr>
        <sz val="10"/>
        <rFont val="Arial"/>
        <family val="2"/>
      </rPr>
      <t xml:space="preserve"> qui est une </t>
    </r>
    <r>
      <rPr>
        <b/>
        <sz val="10"/>
        <rFont val="Arial"/>
        <family val="2"/>
      </rPr>
      <t>caractéristique de l'emploi</t>
    </r>
    <r>
      <rPr>
        <sz val="10"/>
        <rFont val="Arial"/>
        <family val="2"/>
      </rPr>
      <t xml:space="preserve"> (exprimée en 35èmes) et </t>
    </r>
    <r>
      <rPr>
        <u/>
        <sz val="10"/>
        <rFont val="Arial"/>
        <family val="2"/>
      </rPr>
      <t>"temps partiel"</t>
    </r>
    <r>
      <rPr>
        <sz val="10"/>
        <rFont val="Arial"/>
        <family val="2"/>
      </rPr>
      <t xml:space="preserve"> qui est une</t>
    </r>
    <r>
      <rPr>
        <b/>
        <sz val="10"/>
        <rFont val="Arial"/>
        <family val="2"/>
      </rPr>
      <t xml:space="preserve"> modalité d'exercice</t>
    </r>
    <r>
      <rPr>
        <sz val="10"/>
        <rFont val="Arial"/>
        <family val="2"/>
      </rPr>
      <t xml:space="preserve"> (exprimée en pourcentage de temps plein) pour un agent occupant un emploi à temps complet.</t>
    </r>
  </si>
  <si>
    <r>
      <rPr>
        <b/>
        <sz val="10"/>
        <rFont val="Arial"/>
        <family val="2"/>
        <charset val="1"/>
      </rPr>
      <t>* 5.1.1(2)</t>
    </r>
    <r>
      <rPr>
        <sz val="10"/>
        <rFont val="Arial"/>
        <family val="2"/>
      </rPr>
      <t xml:space="preserve"> : compter les journées correspondant aux  </t>
    </r>
    <r>
      <rPr>
        <b/>
        <sz val="10"/>
        <rFont val="Arial"/>
        <family val="2"/>
        <charset val="1"/>
      </rPr>
      <t>formations organisées en inter</t>
    </r>
    <r>
      <rPr>
        <sz val="10"/>
        <rFont val="Arial"/>
        <family val="2"/>
      </rPr>
      <t xml:space="preserve"> </t>
    </r>
    <r>
      <rPr>
        <u/>
        <sz val="10"/>
        <rFont val="Arial"/>
        <family val="2"/>
        <charset val="1"/>
      </rPr>
      <t>au-delà de la cotisation obligatoire</t>
    </r>
    <r>
      <rPr>
        <sz val="10"/>
        <rFont val="Arial"/>
        <family val="2"/>
      </rPr>
      <t xml:space="preserve"> (ceci existe dans certaines régions, mais pas dans toutes).</t>
    </r>
  </si>
  <si>
    <t>Avez-vous délibéré sur la mise en place du  télétravail ?</t>
  </si>
  <si>
    <t>Agents fonctionnaires</t>
  </si>
  <si>
    <t>Cat A</t>
  </si>
  <si>
    <t>Cat B</t>
  </si>
  <si>
    <t>Cat C</t>
  </si>
  <si>
    <t>Nombre de jours de carence prélevés</t>
  </si>
  <si>
    <t>Nombre d'agents auxquels a été appliqué au moins un jour de carence</t>
  </si>
  <si>
    <r>
      <t>2.2.3.3 Nombre de jours utilisés par type de consommation</t>
    </r>
    <r>
      <rPr>
        <sz val="9"/>
        <rFont val="Arial"/>
        <family val="2"/>
      </rPr>
      <t xml:space="preserve"> (cf. décret n° 2010-531 du 20 mai 2010)</t>
    </r>
  </si>
  <si>
    <t>Assistants* de prévention (ex-agents chargés de la mise en œuvre des actions de prévention dans la collectivité)</t>
  </si>
  <si>
    <t>Colonel hors classe</t>
  </si>
  <si>
    <t>CONTRÔLEURS, COLONELS</t>
  </si>
  <si>
    <t>Sapeur</t>
  </si>
  <si>
    <t>Sapeur stagiaire</t>
  </si>
  <si>
    <t>Adjoint territorial d'animation principal de 2ème classe stagiaire</t>
  </si>
  <si>
    <t>Adjoint territorial d'animation</t>
  </si>
  <si>
    <t>Adjoint territorial d'animation stagiaire</t>
  </si>
  <si>
    <t>Contrôleurs, colonels</t>
  </si>
  <si>
    <t>Capitaines, commandants, lieutenants-colonels</t>
  </si>
  <si>
    <t>CAPITAINES, COMMANDANTS, LIEUTENANTS-COLONELS</t>
  </si>
  <si>
    <t>Puéricultrices*</t>
  </si>
  <si>
    <t>Directeurs de police municipale</t>
  </si>
  <si>
    <t>Emplois fonctionnels d'incendie et secours :</t>
  </si>
  <si>
    <t>dont CPF (Compte Personnel de Formation)</t>
  </si>
  <si>
    <t xml:space="preserve">dont CPF (Compte Personnel de Formation) </t>
  </si>
  <si>
    <t xml:space="preserve">  dont CPF (Compte Personnel de Formation) </t>
  </si>
  <si>
    <t>Puéricultrices**</t>
  </si>
  <si>
    <r>
      <t xml:space="preserve">Accidents de </t>
    </r>
    <r>
      <rPr>
        <b/>
        <sz val="9"/>
        <rFont val="Arial"/>
        <family val="2"/>
      </rPr>
      <t>SERVICE</t>
    </r>
  </si>
  <si>
    <r>
      <t xml:space="preserve">Accidents de </t>
    </r>
    <r>
      <rPr>
        <b/>
        <sz val="9"/>
        <rFont val="Arial"/>
        <family val="2"/>
      </rPr>
      <t>TRAJET</t>
    </r>
  </si>
  <si>
    <r>
      <t xml:space="preserve">Nombre d'accidents de </t>
    </r>
    <r>
      <rPr>
        <b/>
        <sz val="9"/>
        <rFont val="Arial"/>
        <family val="2"/>
      </rPr>
      <t>SERVICE</t>
    </r>
  </si>
  <si>
    <r>
      <rPr>
        <b/>
        <sz val="9"/>
        <rFont val="Arial"/>
        <family val="2"/>
      </rPr>
      <t>dont</t>
    </r>
    <r>
      <rPr>
        <sz val="9"/>
        <rFont val="Arial"/>
        <family val="2"/>
      </rPr>
      <t xml:space="preserve"> nombre d'accidents sans arrêt</t>
    </r>
  </si>
  <si>
    <r>
      <t xml:space="preserve">Nombre d'accidents de </t>
    </r>
    <r>
      <rPr>
        <b/>
        <sz val="9"/>
        <rFont val="Arial"/>
        <family val="2"/>
      </rPr>
      <t>TRAJET</t>
    </r>
  </si>
  <si>
    <r>
      <rPr>
        <b/>
        <sz val="9"/>
        <rFont val="Arial"/>
        <family val="2"/>
      </rPr>
      <t xml:space="preserve">dont </t>
    </r>
    <r>
      <rPr>
        <sz val="9"/>
        <rFont val="Arial"/>
        <family val="2"/>
      </rPr>
      <t>nombre d'accidents sans arrêt</t>
    </r>
  </si>
  <si>
    <r>
      <rPr>
        <sz val="9"/>
        <rFont val="Arial"/>
        <family val="2"/>
      </rPr>
      <t xml:space="preserve">Accident de </t>
    </r>
    <r>
      <rPr>
        <b/>
        <sz val="9"/>
        <rFont val="Arial"/>
        <family val="2"/>
      </rPr>
      <t>SERVICE</t>
    </r>
  </si>
  <si>
    <r>
      <rPr>
        <sz val="9"/>
        <rFont val="Arial"/>
        <family val="2"/>
      </rPr>
      <t>Accident de</t>
    </r>
    <r>
      <rPr>
        <b/>
        <sz val="9"/>
        <rFont val="Arial"/>
        <family val="2"/>
      </rPr>
      <t xml:space="preserve"> TRAJET</t>
    </r>
  </si>
  <si>
    <r>
      <t xml:space="preserve">Nombre de jours d'arrêt dus à des MP </t>
    </r>
    <r>
      <rPr>
        <b/>
        <sz val="9"/>
        <rFont val="Arial"/>
        <family val="2"/>
      </rPr>
      <t>reconnues dans l'année</t>
    </r>
    <r>
      <rPr>
        <sz val="9"/>
        <rFont val="Arial"/>
        <family val="2"/>
      </rPr>
      <t xml:space="preserve"> en fonction du sexe</t>
    </r>
  </si>
  <si>
    <t>Médecins de prévention, titulaires ou contractuels, agents de la collectivité</t>
  </si>
  <si>
    <t>Proposition de période de préparation au reclassement au cours de l'année</t>
  </si>
  <si>
    <r>
      <rPr>
        <b/>
        <sz val="10"/>
        <rFont val="Arial"/>
        <family val="2"/>
        <charset val="1"/>
      </rPr>
      <t xml:space="preserve">La formation d’intégration
</t>
    </r>
    <r>
      <rPr>
        <sz val="10"/>
        <rFont val="Arial"/>
        <family val="2"/>
      </rPr>
      <t>Art. 6. − La formation mentionnée au a du 1° de l’article 1er de la loi du 12 juillet 1984 susvisée vise à faciliter l’intégration des fonctionnaires territoriaux par l’acquisition de connaissances relatives à l’environnement territorial dans lequel s’exercent leurs missions.
Elle porte notamment sur l’organisation et le fonctionnement des collectivités territoriales et de leurs établissements publics, les services publics locaux et le déroulement des carrières des fonctionnaires territoriaux.
Les obligations de formation d’intégration ne s’appliquent pas aux fonctionnaires relevant de l’article 45 de la loi du 26 janvier 1984 susvisée.
Les fonctionnaires recrutés au titre du 1° et du 2° de l’article 39 de la même loi en sont dispensés.
Art. 7. − Les statuts particuliers des cadres d’emplois définissent la durée de la formation d’intégration prévue à l’article précédent qui est dispensée au cours de la première année qui suit la nomination du fonctionnaire dans son cadre d’emplois et les conditions dans lesquelles elle peut être fractionnée.
Les statuts particuliers des cadres d’emplois peuvent déterminer dans quelle mesure cette formation est préalable à l’exercice des missions qui incombent aux membres des cadres d’emplois considérés.
Art. 8. − La formation d’intégration peut être commune aux fonctionnaires appartenant à différents cadres d’emplois.
Art. 9. − Dès la nomination d’un fonctionnaire astreint à la formation d’intégration, l’autorité territoriale en informe le Centre national de la fonction publique territoriale en vue de l’organisation de cette formation.
Art. 10. − Sauf dispositions statutaires contraires, la titularisation est subordonnée au respect de l’obligation de suivi de la formation d’intégration.</t>
    </r>
  </si>
  <si>
    <r>
      <rPr>
        <i/>
        <sz val="10"/>
        <rFont val="Arial"/>
        <family val="2"/>
        <charset val="1"/>
      </rPr>
      <t xml:space="preserve">- </t>
    </r>
    <r>
      <rPr>
        <b/>
        <i/>
        <sz val="10"/>
        <rFont val="Arial"/>
        <family val="2"/>
        <charset val="1"/>
      </rPr>
      <t xml:space="preserve">Actions de lutte contre l'illettrisme et pour l'apprentissage de la langue française </t>
    </r>
    <r>
      <rPr>
        <i/>
        <sz val="10"/>
        <rFont val="Arial"/>
        <family val="2"/>
        <charset val="1"/>
      </rPr>
      <t>:</t>
    </r>
    <r>
      <rPr>
        <sz val="10"/>
        <rFont val="Arial"/>
        <family val="2"/>
      </rPr>
      <t xml:space="preserve"> des formations peuvent être proposées aux agents territoriaux ayant des difficultés pour lire et écrire le français. Ces formations ne sont pas obligatoires. Elles sont accordées sous réserve des nécessités de service. L'autorité territoriale ne peut opposer deux refus consécutifs à une demande de formation qu'après avis de la commission administrative paritaire (CAP). Cf. loi n° 84-594 du 12 juillet 1984 relative à la formation des agents de la fonction publique territoriale (articles 1 et 2).</t>
    </r>
  </si>
  <si>
    <r>
      <t xml:space="preserve">Les emplois d'avenir
</t>
    </r>
    <r>
      <rPr>
        <sz val="10"/>
        <rFont val="Arial"/>
        <family val="2"/>
      </rPr>
      <t>À compter de la promulgation de la loi portant création des emplois d’avenir,</t>
    </r>
    <r>
      <rPr>
        <i/>
        <sz val="10"/>
        <rFont val="Arial"/>
        <family val="2"/>
        <charset val="1"/>
      </rPr>
      <t xml:space="preserve"> les actions de formation destinées aux personnes bénéficiant d’un contrat conclu au titre de l’article L. 5134-110 du code du travail dans les collectivités territoriales ou leurs établissements publics</t>
    </r>
    <r>
      <rPr>
        <sz val="10"/>
        <rFont val="Arial"/>
        <family val="2"/>
      </rPr>
      <t xml:space="preserve"> sont financées, pour tout ou partie, au moyen de la cotisation obligatoire versée par les collectivités territoriales et leurs établissements publics, en application du 1° de l’article 12-2 de la loi n° 84-53 du 26 janvier 1984 portant dispositions statutaires relatives à la fonction publique territoriale, ainsi que par une cotisation obligatoire assise sur les rémunérations des bénéficiaires des contrats conclus au titre de l’article L. 5134-110 du code du travail dont le taux est fixé par décret. Cette disposition ne sera applicable qu’à compter du 1er janvier 2013. Une convention annuelle d’objectifs et de moyens, conclue entre l’État et le centre national de la fonction publique territoriale, viendra définir les modalités de mise en œuvre.</t>
    </r>
  </si>
  <si>
    <r>
      <rPr>
        <i/>
        <sz val="9"/>
        <color indexed="8"/>
        <rFont val="Arial"/>
        <family val="2"/>
      </rPr>
      <t>U</t>
    </r>
    <r>
      <rPr>
        <i/>
        <sz val="9"/>
        <rFont val="Arial"/>
        <family val="2"/>
      </rPr>
      <t>n</t>
    </r>
    <r>
      <rPr>
        <b/>
        <i/>
        <sz val="9"/>
        <rFont val="Arial"/>
        <family val="2"/>
      </rPr>
      <t xml:space="preserve"> agent</t>
    </r>
    <r>
      <rPr>
        <i/>
        <sz val="9"/>
        <rFont val="Arial"/>
        <family val="2"/>
      </rPr>
      <t xml:space="preserve"> peut être</t>
    </r>
    <r>
      <rPr>
        <i/>
        <u/>
        <sz val="9"/>
        <rFont val="Arial"/>
        <family val="2"/>
      </rPr>
      <t xml:space="preserve"> comptabilisé plusieurs fois</t>
    </r>
    <r>
      <rPr>
        <i/>
        <sz val="9"/>
        <rFont val="Arial"/>
        <family val="2"/>
      </rPr>
      <t xml:space="preserve"> s'il est victime de plusieurs accidents sur l'année
</t>
    </r>
    <r>
      <rPr>
        <b/>
        <i/>
        <sz val="8"/>
        <rFont val="MS Sans Serif"/>
        <family val="2"/>
      </rPr>
      <t/>
    </r>
  </si>
  <si>
    <r>
      <rPr>
        <b/>
        <i/>
        <sz val="9"/>
        <color indexed="10"/>
        <rFont val="Arial"/>
        <family val="2"/>
      </rPr>
      <t>Remarque :</t>
    </r>
    <r>
      <rPr>
        <i/>
        <sz val="9"/>
        <rFont val="Arial"/>
        <family val="2"/>
      </rPr>
      <t xml:space="preserve"> </t>
    </r>
    <r>
      <rPr>
        <b/>
        <i/>
        <sz val="9"/>
        <rFont val="Arial"/>
        <family val="2"/>
      </rPr>
      <t>Ne pas remplir</t>
    </r>
    <r>
      <rPr>
        <i/>
        <sz val="9"/>
        <rFont val="Arial"/>
        <family val="2"/>
      </rPr>
      <t xml:space="preserve"> les </t>
    </r>
    <r>
      <rPr>
        <b/>
        <i/>
        <sz val="9"/>
        <rFont val="Arial"/>
        <family val="2"/>
      </rPr>
      <t>cellules grisées</t>
    </r>
    <r>
      <rPr>
        <i/>
        <sz val="9"/>
        <rFont val="Arial"/>
        <family val="2"/>
      </rPr>
      <t xml:space="preserve"> qui font l’objet de </t>
    </r>
    <r>
      <rPr>
        <b/>
        <i/>
        <sz val="9"/>
        <rFont val="Arial"/>
        <family val="2"/>
      </rPr>
      <t>calculs automatiques</t>
    </r>
    <r>
      <rPr>
        <i/>
        <sz val="9"/>
        <rFont val="Arial"/>
        <family val="2"/>
      </rPr>
      <t xml:space="preserve">. </t>
    </r>
  </si>
  <si>
    <t xml:space="preserve">Si OUI, veuillez remplir le tableau suivant : </t>
  </si>
  <si>
    <t>- d’une entreprise pour évaluer les risques professionnels,</t>
  </si>
  <si>
    <t>Manquement à l'obligation de laïcité, atteinte au principe de neutralité, discrimination, manquement à l'obligation de réserve</t>
  </si>
  <si>
    <t>Conflit d'intérêt, trafic d'influence, prise illégale d'intérêts</t>
  </si>
  <si>
    <t>Exercice d'une activité privée rémunérée sans autorisation</t>
  </si>
  <si>
    <t>Comportement privé affectant le renom du service, condamnation pénale (pour manquements non mentionnés dans les colonnes précédentes)</t>
  </si>
  <si>
    <r>
      <rPr>
        <b/>
        <i/>
        <sz val="9"/>
        <color indexed="10"/>
        <rFont val="Arial"/>
        <family val="2"/>
      </rPr>
      <t>Précision :</t>
    </r>
    <r>
      <rPr>
        <i/>
        <sz val="9"/>
        <rFont val="Arial"/>
        <family val="2"/>
      </rPr>
      <t xml:space="preserve"> compter un motif par sanction</t>
    </r>
  </si>
  <si>
    <t>IND 7.1.1-7.1.3</t>
  </si>
  <si>
    <t>IND 7.1.4</t>
  </si>
  <si>
    <r>
      <rPr>
        <u/>
        <sz val="10"/>
        <rFont val="Arial"/>
        <family val="2"/>
      </rPr>
      <t>Tableau 1</t>
    </r>
    <r>
      <rPr>
        <sz val="10"/>
        <rFont val="Arial"/>
        <family val="2"/>
      </rPr>
      <t xml:space="preserve"> : Fonctionnaires de la fonction publique territoriale</t>
    </r>
  </si>
  <si>
    <r>
      <rPr>
        <u/>
        <sz val="10"/>
        <rFont val="Arial"/>
        <family val="2"/>
      </rPr>
      <t xml:space="preserve">Tableau 2 </t>
    </r>
    <r>
      <rPr>
        <sz val="10"/>
        <rFont val="Arial"/>
        <family val="2"/>
      </rPr>
      <t>: Fonctionnaires issus d'une autre administration (FPE, FPH)</t>
    </r>
  </si>
  <si>
    <r>
      <rPr>
        <u/>
        <sz val="10"/>
        <rFont val="Arial"/>
        <family val="2"/>
      </rPr>
      <t>Tableau 3</t>
    </r>
    <r>
      <rPr>
        <sz val="10"/>
        <rFont val="Arial"/>
        <family val="2"/>
      </rPr>
      <t xml:space="preserve"> : Contractuels sur emplois permanents</t>
    </r>
  </si>
  <si>
    <t>Pour les agents de catégorie C (y compris PACTE)</t>
  </si>
  <si>
    <t>Hommes   
1.1.4(1.1)</t>
  </si>
  <si>
    <t>Femmes 
1.1.4(1.2)</t>
  </si>
  <si>
    <t>CADRE D'EMPLOIS</t>
  </si>
  <si>
    <t>Article 3 de la Loi du 26 janvier 84, modifié par la loi n° 2012-347 et la loi n° 2019-828</t>
  </si>
  <si>
    <r>
      <t xml:space="preserve"> par</t>
    </r>
    <r>
      <rPr>
        <b/>
        <sz val="9"/>
        <color indexed="17"/>
        <rFont val="Arial"/>
        <family val="2"/>
      </rPr>
      <t xml:space="preserve"> </t>
    </r>
    <r>
      <rPr>
        <b/>
        <sz val="9"/>
        <rFont val="Arial"/>
        <family val="2"/>
      </rPr>
      <t>filière et cadre d'emplois,  selon la quotité de temps de travail et le sexe</t>
    </r>
  </si>
  <si>
    <t>Hommes   
1.2.4(1.1)</t>
  </si>
  <si>
    <t>Femmes 
1.2.4(1.2)</t>
  </si>
  <si>
    <r>
      <rPr>
        <sz val="10"/>
        <rFont val="Arial"/>
        <family val="2"/>
      </rPr>
      <t>Les indicateurs 5.1.1 et 5.1.2 recensent le</t>
    </r>
    <r>
      <rPr>
        <b/>
        <sz val="10"/>
        <rFont val="Arial"/>
        <family val="2"/>
        <charset val="1"/>
      </rPr>
      <t xml:space="preserve"> nombre de journées de formation</t>
    </r>
    <r>
      <rPr>
        <sz val="10"/>
        <rFont val="Arial"/>
        <family val="2"/>
      </rPr>
      <t xml:space="preserve"> auxquelles ont participé d’une part les </t>
    </r>
    <r>
      <rPr>
        <u/>
        <sz val="10"/>
        <rFont val="Arial"/>
        <family val="2"/>
        <charset val="1"/>
      </rPr>
      <t>agents qui occupent un emploi permanent</t>
    </r>
    <r>
      <rPr>
        <sz val="10"/>
        <rFont val="Arial"/>
        <family val="2"/>
      </rPr>
      <t xml:space="preserve"> (5.1.1) et d’autre part les </t>
    </r>
    <r>
      <rPr>
        <u/>
        <sz val="10"/>
        <rFont val="Arial"/>
        <family val="2"/>
        <charset val="1"/>
      </rPr>
      <t>autres agents</t>
    </r>
    <r>
      <rPr>
        <sz val="10"/>
        <rFont val="Arial"/>
        <family val="2"/>
      </rPr>
      <t xml:space="preserve"> (5.1.2) :</t>
    </r>
  </si>
  <si>
    <r>
      <rPr>
        <sz val="10"/>
        <rFont val="Arial"/>
        <family val="2"/>
      </rPr>
      <t xml:space="preserve">* comptabiliser les </t>
    </r>
    <r>
      <rPr>
        <b/>
        <sz val="10"/>
        <rFont val="Arial"/>
        <family val="2"/>
        <charset val="1"/>
      </rPr>
      <t xml:space="preserve">jours ouvrés </t>
    </r>
  </si>
  <si>
    <r>
      <rPr>
        <sz val="10"/>
        <rFont val="Arial"/>
        <family val="2"/>
      </rPr>
      <t xml:space="preserve">* considérer </t>
    </r>
    <r>
      <rPr>
        <b/>
        <sz val="10"/>
        <rFont val="Arial"/>
        <family val="2"/>
        <charset val="1"/>
      </rPr>
      <t>1 journée</t>
    </r>
    <r>
      <rPr>
        <sz val="10"/>
        <rFont val="Arial"/>
        <family val="2"/>
      </rPr>
      <t xml:space="preserve"> </t>
    </r>
    <r>
      <rPr>
        <u/>
        <sz val="10"/>
        <rFont val="Arial"/>
        <family val="2"/>
        <charset val="1"/>
      </rPr>
      <t>quel que soit le nombre d’heures réel de la formation</t>
    </r>
    <r>
      <rPr>
        <sz val="10"/>
        <rFont val="Arial"/>
        <family val="2"/>
      </rPr>
      <t xml:space="preserve"> : compter les journées selon les pratiques de la collectivité et celles des organismes (certains comptent 6h, 6h30, 7h ou plus par journée de formation).</t>
    </r>
  </si>
  <si>
    <r>
      <rPr>
        <sz val="10"/>
        <rFont val="Arial"/>
        <family val="2"/>
      </rPr>
      <t xml:space="preserve">* compter le </t>
    </r>
    <r>
      <rPr>
        <b/>
        <sz val="10"/>
        <rFont val="Arial"/>
        <family val="2"/>
        <charset val="1"/>
      </rPr>
      <t>nombre total de journées</t>
    </r>
    <r>
      <rPr>
        <sz val="10"/>
        <rFont val="Arial"/>
        <family val="2"/>
      </rPr>
      <t xml:space="preserve"> effectuées par les  agents :</t>
    </r>
  </si>
  <si>
    <r>
      <rPr>
        <i/>
        <u/>
        <sz val="10"/>
        <rFont val="Arial"/>
        <family val="2"/>
        <charset val="1"/>
      </rPr>
      <t xml:space="preserve">Exemple </t>
    </r>
    <r>
      <rPr>
        <i/>
        <sz val="10"/>
        <rFont val="Arial"/>
        <family val="2"/>
        <charset val="1"/>
      </rPr>
      <t>: si 7 agents ont participé ensemble à une action de formation qui a duré 3 jours, et 2 autres à une action de 2 jours, le nombre total de journées de formation sera égal à (7 X 3) + (2X2) = 25</t>
    </r>
  </si>
  <si>
    <r>
      <rPr>
        <sz val="10"/>
        <rFont val="Arial"/>
        <family val="2"/>
      </rPr>
      <t xml:space="preserve">- </t>
    </r>
    <r>
      <rPr>
        <b/>
        <sz val="10"/>
        <rFont val="Arial"/>
        <family val="2"/>
        <charset val="1"/>
      </rPr>
      <t>ne pas</t>
    </r>
    <r>
      <rPr>
        <sz val="10"/>
        <rFont val="Arial"/>
        <family val="2"/>
      </rPr>
      <t xml:space="preserve"> décompter de </t>
    </r>
    <r>
      <rPr>
        <b/>
        <sz val="10"/>
        <rFont val="Arial"/>
        <family val="2"/>
        <charset val="1"/>
      </rPr>
      <t>durée inférieure à la  journée</t>
    </r>
    <r>
      <rPr>
        <sz val="10"/>
        <rFont val="Arial"/>
        <family val="2"/>
      </rPr>
      <t>.</t>
    </r>
  </si>
  <si>
    <r>
      <rPr>
        <i/>
        <u/>
        <sz val="10"/>
        <rFont val="Arial"/>
        <family val="2"/>
        <charset val="1"/>
      </rPr>
      <t xml:space="preserve">Exemple </t>
    </r>
    <r>
      <rPr>
        <i/>
        <sz val="10"/>
        <rFont val="Arial"/>
        <family val="2"/>
        <charset val="1"/>
      </rPr>
      <t>: 7 stagiaires ont participé à un stage de 3,5 j, et par ailleurs le nombre total des journées correspondant aux autres formations est de 50 j.</t>
    </r>
  </si>
  <si>
    <r>
      <rPr>
        <sz val="10"/>
        <rFont val="Arial"/>
        <family val="2"/>
      </rPr>
      <t xml:space="preserve">- pour les </t>
    </r>
    <r>
      <rPr>
        <u/>
        <sz val="10"/>
        <rFont val="Arial"/>
        <family val="2"/>
        <charset val="1"/>
      </rPr>
      <t>formations dont la durée est comptabilisée en heures</t>
    </r>
    <r>
      <rPr>
        <sz val="10"/>
        <rFont val="Arial"/>
        <family val="2"/>
      </rPr>
      <t>,</t>
    </r>
    <r>
      <rPr>
        <b/>
        <sz val="10"/>
        <rFont val="Arial"/>
        <family val="2"/>
        <charset val="1"/>
      </rPr>
      <t xml:space="preserve"> transformer</t>
    </r>
    <r>
      <rPr>
        <sz val="10"/>
        <rFont val="Arial"/>
        <family val="2"/>
      </rPr>
      <t xml:space="preserve"> le nombre total d</t>
    </r>
    <r>
      <rPr>
        <b/>
        <sz val="10"/>
        <rFont val="Arial"/>
        <family val="2"/>
        <charset val="1"/>
      </rPr>
      <t xml:space="preserve">’heures </t>
    </r>
    <r>
      <rPr>
        <sz val="10"/>
        <rFont val="Arial"/>
        <family val="2"/>
      </rPr>
      <t xml:space="preserve">en </t>
    </r>
    <r>
      <rPr>
        <b/>
        <sz val="10"/>
        <rFont val="Arial"/>
        <family val="2"/>
        <charset val="1"/>
      </rPr>
      <t xml:space="preserve">nombre de journées </t>
    </r>
    <r>
      <rPr>
        <sz val="10"/>
        <rFont val="Arial"/>
        <family val="2"/>
      </rPr>
      <t>(en utilisant la norme d’1 journée = 7 heures) et arrondir si besoin.</t>
    </r>
  </si>
  <si>
    <r>
      <rPr>
        <sz val="10"/>
        <rFont val="Arial"/>
        <family val="2"/>
      </rPr>
      <t xml:space="preserve">* </t>
    </r>
    <r>
      <rPr>
        <i/>
        <u/>
        <sz val="10"/>
        <rFont val="Arial"/>
        <family val="2"/>
        <charset val="1"/>
      </rPr>
      <t xml:space="preserve">préparations aux concours et examens d’accès aux cadres d’emplois de la fonction publique territoriale </t>
    </r>
    <r>
      <rPr>
        <i/>
        <sz val="10"/>
        <rFont val="Arial"/>
        <family val="2"/>
        <charset val="1"/>
      </rPr>
      <t>:</t>
    </r>
    <r>
      <rPr>
        <sz val="10"/>
        <rFont val="Arial"/>
        <family val="2"/>
      </rPr>
      <t xml:space="preserve"> compter strictement les </t>
    </r>
    <r>
      <rPr>
        <b/>
        <sz val="10"/>
        <rFont val="Arial"/>
        <family val="2"/>
        <charset val="1"/>
      </rPr>
      <t>journées d’absence</t>
    </r>
    <r>
      <rPr>
        <sz val="10"/>
        <rFont val="Arial"/>
        <family val="2"/>
      </rPr>
      <t xml:space="preserve"> correspondant à des</t>
    </r>
    <r>
      <rPr>
        <b/>
        <sz val="10"/>
        <rFont val="Arial"/>
        <family val="2"/>
        <charset val="1"/>
      </rPr>
      <t xml:space="preserve"> actions de formatio</t>
    </r>
    <r>
      <rPr>
        <sz val="10"/>
        <rFont val="Arial"/>
        <family val="2"/>
      </rPr>
      <t>n = ne pas prendre en compte les journées d’absence pour participation aux épreuves de concours.</t>
    </r>
  </si>
  <si>
    <r>
      <rPr>
        <i/>
        <sz val="10"/>
        <rFont val="Arial"/>
        <family val="2"/>
        <charset val="1"/>
      </rPr>
      <t>*</t>
    </r>
    <r>
      <rPr>
        <i/>
        <u/>
        <sz val="10"/>
        <rFont val="Arial"/>
        <family val="2"/>
        <charset val="1"/>
      </rPr>
      <t xml:space="preserve"> formation prévue par les statuts particuliers</t>
    </r>
    <r>
      <rPr>
        <i/>
        <sz val="10"/>
        <rFont val="Arial"/>
        <family val="2"/>
        <charset val="1"/>
      </rPr>
      <t xml:space="preserve"> :</t>
    </r>
    <r>
      <rPr>
        <sz val="10"/>
        <rFont val="Arial"/>
        <family val="2"/>
      </rPr>
      <t xml:space="preserve"> concerne toutes les</t>
    </r>
    <r>
      <rPr>
        <b/>
        <sz val="10"/>
        <rFont val="Arial"/>
        <family val="2"/>
        <charset val="1"/>
      </rPr>
      <t xml:space="preserve"> formations obligatoires</t>
    </r>
    <r>
      <rPr>
        <sz val="10"/>
        <rFont val="Arial"/>
        <family val="2"/>
      </rPr>
      <t xml:space="preserve"> suite à nomination ou exercice des fonctions dans certains cadres d’emplois :</t>
    </r>
  </si>
  <si>
    <r>
      <t xml:space="preserve">* </t>
    </r>
    <r>
      <rPr>
        <i/>
        <u/>
        <sz val="10"/>
        <rFont val="Arial"/>
        <family val="2"/>
        <charset val="1"/>
      </rPr>
      <t>formation de perfectionnement</t>
    </r>
    <r>
      <rPr>
        <i/>
        <sz val="10"/>
        <rFont val="Arial"/>
        <family val="2"/>
        <charset val="1"/>
      </rPr>
      <t xml:space="preserve"> </t>
    </r>
    <r>
      <rPr>
        <sz val="10"/>
        <rFont val="Arial"/>
        <family val="2"/>
      </rPr>
      <t xml:space="preserve">: compter les journées correspondant à toutes les </t>
    </r>
    <r>
      <rPr>
        <b/>
        <sz val="10"/>
        <rFont val="Arial"/>
        <family val="2"/>
        <charset val="1"/>
      </rPr>
      <t>actions de formation</t>
    </r>
    <r>
      <rPr>
        <sz val="10"/>
        <rFont val="Arial"/>
        <family val="2"/>
      </rPr>
      <t xml:space="preserve"> ayant pour but de </t>
    </r>
    <r>
      <rPr>
        <b/>
        <sz val="10"/>
        <rFont val="Arial"/>
        <family val="2"/>
        <charset val="1"/>
      </rPr>
      <t>développer les compétences des agents</t>
    </r>
    <r>
      <rPr>
        <sz val="10"/>
        <rFont val="Arial"/>
        <family val="2"/>
      </rPr>
      <t xml:space="preserve"> ou de leur permettre d'en </t>
    </r>
    <r>
      <rPr>
        <b/>
        <sz val="10"/>
        <rFont val="Arial"/>
        <family val="2"/>
        <charset val="1"/>
      </rPr>
      <t>acquérir de nouvelles</t>
    </r>
    <r>
      <rPr>
        <sz val="10"/>
        <rFont val="Arial"/>
        <family val="2"/>
      </rPr>
      <t>. Rentrent également dans ce cadre les actions de formation relatives à l'hygiène et à la sécurité qui sont prévues par le décret n° 85-603 du 10 juin 1985 pour les acmo, les ACFI, et plus généralement pour tous les agents.</t>
    </r>
  </si>
  <si>
    <t xml:space="preserve">  - IND 1.4.1 - Nombre d'agents originaires de la collectivité</t>
  </si>
  <si>
    <t>IND 1.4.1-1.4.4</t>
  </si>
  <si>
    <t>Directeur d'établissement d'enseignement artistique de 1ère catégorie</t>
  </si>
  <si>
    <t>TCD2</t>
  </si>
  <si>
    <t>Directeur d'établissement d'enseignement artistique de 2ème catégorie</t>
  </si>
  <si>
    <t>TCD1</t>
  </si>
  <si>
    <t>SCD1</t>
  </si>
  <si>
    <t>DIRECTEURS D'ETABLISSEMENTS D'ENSEIGNEMENT ARTISTIQUE</t>
  </si>
  <si>
    <t>CD</t>
  </si>
  <si>
    <t>Professeur d'enseignement artistique hors classe</t>
  </si>
  <si>
    <t>TCP2</t>
  </si>
  <si>
    <t>Professeur d'enseignement artistique classe normale</t>
  </si>
  <si>
    <t>TCP1</t>
  </si>
  <si>
    <t xml:space="preserve">     - formation d'intégration,</t>
  </si>
  <si>
    <t xml:space="preserve">1.3.1 (2)  - Autres contractuels sur emploi non permanent en Equivalent Temps Plein Rémunéré </t>
  </si>
  <si>
    <t>Temps partiel de droit</t>
  </si>
  <si>
    <t>4.1.1 Agents affectés à la prévention</t>
  </si>
  <si>
    <t>4.1.3 - Nombre de visites médicales sur demande de l'agent</t>
  </si>
  <si>
    <t>Formation de perfectionnement</t>
  </si>
  <si>
    <t>Formation personnelle (hors congés formation)</t>
  </si>
  <si>
    <t>Pour les agents de catégorie B</t>
  </si>
  <si>
    <t>Pour les autres agents non classables dans une de ces catégories</t>
  </si>
  <si>
    <t>TOTAL Toutes catégories</t>
  </si>
  <si>
    <t>Nombre total de journées de formation dispensées par</t>
  </si>
  <si>
    <t>1.4.3 Nombre d'agents originaires d'une autre structure mis à disposition (*)</t>
  </si>
  <si>
    <t>statut1</t>
  </si>
  <si>
    <t>Fonctionnaires</t>
  </si>
  <si>
    <t>position3</t>
  </si>
  <si>
    <t>dont originaire de la fonction publique d'Etat</t>
  </si>
  <si>
    <t>Infirmier de classe normale</t>
  </si>
  <si>
    <t>TON1</t>
  </si>
  <si>
    <t>Agent spécialisé principal de 2ème classe des écoles maternelles stagiaire</t>
  </si>
  <si>
    <t>Agent social principal de 2ème classe stagiaire</t>
  </si>
  <si>
    <t xml:space="preserve">Agent social </t>
  </si>
  <si>
    <t>Agent social stagiaire</t>
  </si>
  <si>
    <t xml:space="preserve">             - sur demande</t>
  </si>
  <si>
    <r>
      <rPr>
        <b/>
        <i/>
        <sz val="10"/>
        <color indexed="10"/>
        <rFont val="Arial"/>
        <family val="2"/>
      </rPr>
      <t>Remarque :</t>
    </r>
    <r>
      <rPr>
        <i/>
        <sz val="10"/>
        <rFont val="Arial"/>
        <family val="2"/>
      </rPr>
      <t xml:space="preserve"> Ces agents ne doivent pas avoir été recensés à l’indicateur 1.2.1.</t>
    </r>
  </si>
  <si>
    <r>
      <t>Y a-t-il eu des</t>
    </r>
    <r>
      <rPr>
        <b/>
        <sz val="9"/>
        <rFont val="Arial"/>
        <family val="2"/>
      </rPr>
      <t xml:space="preserve"> hommes</t>
    </r>
    <r>
      <rPr>
        <sz val="9"/>
        <rFont val="Arial"/>
        <family val="2"/>
      </rPr>
      <t xml:space="preserve"> qui sont partis en congé de 6 mois ou plus au cours de l'année  dans votre collectivité ?</t>
    </r>
  </si>
  <si>
    <r>
      <t xml:space="preserve">Si oui, y a-t-il eu un départ en congé </t>
    </r>
    <r>
      <rPr>
        <u/>
        <sz val="9"/>
        <rFont val="Arial"/>
        <family val="2"/>
      </rPr>
      <t>sans entretien</t>
    </r>
    <r>
      <rPr>
        <sz val="9"/>
        <rFont val="Arial"/>
        <family val="2"/>
      </rPr>
      <t xml:space="preserve"> ?</t>
    </r>
  </si>
  <si>
    <r>
      <t xml:space="preserve">Y a-t-il eu des </t>
    </r>
    <r>
      <rPr>
        <b/>
        <sz val="9"/>
        <rFont val="Arial"/>
        <family val="2"/>
      </rPr>
      <t>femmes</t>
    </r>
    <r>
      <rPr>
        <sz val="9"/>
        <rFont val="Arial"/>
        <family val="2"/>
      </rPr>
      <t xml:space="preserve"> qui sont parties en congé de 6 mois ou plus au cours de l'année  dans votre collectivité ?</t>
    </r>
  </si>
  <si>
    <r>
      <t>Y a-t-il eu des</t>
    </r>
    <r>
      <rPr>
        <b/>
        <sz val="9"/>
        <rFont val="Arial"/>
        <family val="2"/>
      </rPr>
      <t xml:space="preserve"> hommes</t>
    </r>
    <r>
      <rPr>
        <sz val="9"/>
        <rFont val="Arial"/>
        <family val="2"/>
      </rPr>
      <t xml:space="preserve"> qui sont revenus au cours de l'année d'un congé de 6 mois ou plus dans votre collectivité ?</t>
    </r>
  </si>
  <si>
    <r>
      <t xml:space="preserve">Si oui, y a-t-il eu un retour de congé </t>
    </r>
    <r>
      <rPr>
        <u/>
        <sz val="9"/>
        <rFont val="Arial"/>
        <family val="2"/>
      </rPr>
      <t>sans entretien</t>
    </r>
    <r>
      <rPr>
        <sz val="9"/>
        <rFont val="Arial"/>
        <family val="2"/>
      </rPr>
      <t xml:space="preserve"> ?</t>
    </r>
  </si>
  <si>
    <r>
      <t xml:space="preserve">Y a-t-il eu des </t>
    </r>
    <r>
      <rPr>
        <b/>
        <sz val="9"/>
        <rFont val="Arial"/>
        <family val="2"/>
      </rPr>
      <t>femme</t>
    </r>
    <r>
      <rPr>
        <sz val="9"/>
        <rFont val="Arial"/>
        <family val="2"/>
      </rPr>
      <t>s qui sont revenues au cours de l'année d'un congé de 6 mois ou plus dans votre collectivité ?</t>
    </r>
  </si>
  <si>
    <t>Contraintes particulières concernant le temps de travail</t>
  </si>
  <si>
    <t>Compte Epargne Temps</t>
  </si>
  <si>
    <t>Télétravail</t>
  </si>
  <si>
    <t>Pour les collectivités ayant délibéré sur la mise en place du télétravail, cet indicateur recense :</t>
  </si>
  <si>
    <t>IND 1.5.4-1.5.5</t>
  </si>
  <si>
    <r>
      <rPr>
        <sz val="10"/>
        <rFont val="Arial"/>
        <family val="2"/>
      </rPr>
      <t>L’indicateur 1.1.0. recense les effectifs en nombre de personnes physiques</t>
    </r>
    <r>
      <rPr>
        <b/>
        <sz val="10"/>
        <rFont val="Arial"/>
        <family val="2"/>
        <charset val="1"/>
      </rPr>
      <t xml:space="preserve"> (1 personne = 1 unité)</t>
    </r>
    <r>
      <rPr>
        <sz val="10"/>
        <rFont val="Arial"/>
        <family val="2"/>
      </rPr>
      <t>.</t>
    </r>
  </si>
  <si>
    <r>
      <t>Ne pas remplir</t>
    </r>
    <r>
      <rPr>
        <sz val="10"/>
        <rFont val="Arial"/>
        <family val="2"/>
      </rPr>
      <t xml:space="preserve"> les </t>
    </r>
    <r>
      <rPr>
        <b/>
        <sz val="10"/>
        <rFont val="Arial"/>
        <family val="2"/>
        <charset val="1"/>
      </rPr>
      <t>cellules grisées</t>
    </r>
    <r>
      <rPr>
        <sz val="10"/>
        <rFont val="Arial"/>
        <family val="2"/>
      </rPr>
      <t xml:space="preserve"> (pré remplies par un zéro) qui font l’objet de </t>
    </r>
    <r>
      <rPr>
        <b/>
        <sz val="10"/>
        <rFont val="Arial"/>
        <family val="2"/>
        <charset val="1"/>
      </rPr>
      <t xml:space="preserve">calculs automatiques. </t>
    </r>
  </si>
  <si>
    <t xml:space="preserve">  - IND 2.2.1 - Modalités d'organisation du temps de travail </t>
  </si>
  <si>
    <t xml:space="preserve">  - IND 2.3.1 - Informations relatives au temps partiel prévu par l'article 60 de la loi du 26 janvier 1984</t>
  </si>
  <si>
    <t>5.1.1(1)</t>
  </si>
  <si>
    <t>5.1.1(2)</t>
  </si>
  <si>
    <t>5.1.1(3)</t>
  </si>
  <si>
    <t>5.1.1(4)</t>
  </si>
  <si>
    <t>5.1.1(5)</t>
  </si>
  <si>
    <t>5.1.1(6)</t>
  </si>
  <si>
    <t>5.1.1(7)</t>
  </si>
  <si>
    <t>Taux d'emploi légal des travailleurs en situation de handicap</t>
  </si>
  <si>
    <t>Les bénéficiaires de l’obligation d’emploi sont définis à l’article L. 5212-13 du code du travail (les travailleurs reconnus handicapés par la CDAPH, les titulaires de l'allocation aux adultes handicapés, etc). S’y ajoutent les agents reclassés ou en période de préparation au reclassement, les bénéficiaires d’une allocation temporaire d’invalidité et les titulaires d’un emploi réservé.</t>
  </si>
  <si>
    <r>
      <rPr>
        <sz val="10"/>
        <rFont val="Arial"/>
        <family val="2"/>
      </rPr>
      <t>Si votre collectivité en compte</t>
    </r>
    <r>
      <rPr>
        <b/>
        <sz val="10"/>
        <rFont val="Arial"/>
        <family val="2"/>
        <charset val="1"/>
      </rPr>
      <t xml:space="preserve"> </t>
    </r>
    <r>
      <rPr>
        <sz val="10"/>
        <rFont val="Arial"/>
        <family val="2"/>
      </rPr>
      <t>(</t>
    </r>
    <r>
      <rPr>
        <b/>
        <sz val="10"/>
        <rFont val="Arial"/>
        <family val="2"/>
        <charset val="1"/>
      </rPr>
      <t>réponse : oui</t>
    </r>
    <r>
      <rPr>
        <sz val="10"/>
        <rFont val="Arial"/>
        <family val="2"/>
      </rPr>
      <t>, à la question filtre)</t>
    </r>
    <r>
      <rPr>
        <b/>
        <sz val="10"/>
        <rFont val="Arial"/>
        <family val="2"/>
        <charset val="1"/>
      </rPr>
      <t>, comment sont-ils recensés ?</t>
    </r>
  </si>
  <si>
    <r>
      <t xml:space="preserve">* </t>
    </r>
    <r>
      <rPr>
        <sz val="10"/>
        <rFont val="Arial"/>
        <family val="2"/>
      </rPr>
      <t>par</t>
    </r>
    <r>
      <rPr>
        <b/>
        <sz val="10"/>
        <rFont val="Arial"/>
        <family val="2"/>
        <charset val="1"/>
      </rPr>
      <t xml:space="preserve"> type d'emploi</t>
    </r>
  </si>
  <si>
    <r>
      <t xml:space="preserve">- tableau 1 : </t>
    </r>
    <r>
      <rPr>
        <b/>
        <sz val="10"/>
        <rFont val="Arial"/>
        <family val="2"/>
        <charset val="1"/>
      </rPr>
      <t>emploi permanent</t>
    </r>
  </si>
  <si>
    <r>
      <rPr>
        <sz val="10"/>
        <rFont val="Arial"/>
        <family val="2"/>
      </rPr>
      <t xml:space="preserve">* </t>
    </r>
    <r>
      <rPr>
        <sz val="10"/>
        <rFont val="Arial"/>
        <family val="2"/>
      </rPr>
      <t>par</t>
    </r>
    <r>
      <rPr>
        <sz val="10"/>
        <rFont val="Arial"/>
        <family val="2"/>
      </rPr>
      <t xml:space="preserve"> catégorie </t>
    </r>
    <r>
      <rPr>
        <sz val="10"/>
        <rFont val="Arial"/>
        <family val="2"/>
      </rPr>
      <t>(en lignes)</t>
    </r>
  </si>
  <si>
    <r>
      <t xml:space="preserve">* </t>
    </r>
    <r>
      <rPr>
        <sz val="10"/>
        <rFont val="Arial"/>
        <family val="2"/>
      </rPr>
      <t xml:space="preserve">selon le </t>
    </r>
    <r>
      <rPr>
        <b/>
        <sz val="10"/>
        <rFont val="Arial"/>
        <family val="2"/>
        <charset val="1"/>
      </rPr>
      <t>statut</t>
    </r>
    <r>
      <rPr>
        <sz val="10"/>
        <rFont val="Arial"/>
        <family val="2"/>
      </rPr>
      <t xml:space="preserve"> et le </t>
    </r>
    <r>
      <rPr>
        <b/>
        <sz val="10"/>
        <rFont val="Arial"/>
        <family val="2"/>
        <charset val="1"/>
      </rPr>
      <t>sexe</t>
    </r>
    <r>
      <rPr>
        <sz val="10"/>
        <rFont val="Arial"/>
        <family val="2"/>
      </rPr>
      <t xml:space="preserve"> (en colonnes)</t>
    </r>
  </si>
  <si>
    <r>
      <rPr>
        <sz val="10"/>
        <rFont val="Arial"/>
        <family val="2"/>
      </rPr>
      <t>*</t>
    </r>
    <r>
      <rPr>
        <sz val="10"/>
        <rFont val="Arial"/>
        <family val="2"/>
      </rPr>
      <t xml:space="preserve"> par </t>
    </r>
    <r>
      <rPr>
        <sz val="10"/>
        <rFont val="Arial"/>
        <family val="2"/>
      </rPr>
      <t>sexe</t>
    </r>
    <r>
      <rPr>
        <sz val="10"/>
        <rFont val="Arial"/>
        <family val="2"/>
      </rPr>
      <t xml:space="preserve"> </t>
    </r>
  </si>
  <si>
    <t xml:space="preserve"> - les autorisations exceptionnelles d'absences (traditions locales, congés supplémentaires de type jour du maire ou fermeture exceptionnelle) c'est-à-dire accordées en sus des congés réglementaires ; ne sont pas ici recensées les autorisations spéciales d'absence (ASA) qui doivent uniquement être comptabilisées à l'indicateur 2.1.1  ; </t>
  </si>
  <si>
    <t xml:space="preserve"> -  les jours d'absence dont bénéficient les agents au titre des droits acquis (cycles de travail antérieurs au 1er janvier 2002).</t>
  </si>
  <si>
    <t>Fiche 2.1.0 - Nombre de jours accordés pour l'ensemble des agents</t>
  </si>
  <si>
    <t>Fiche 2.1.0</t>
  </si>
  <si>
    <t>Fiche 1.5.4-1.5.7</t>
  </si>
  <si>
    <t>Fiche 1.5.0</t>
  </si>
  <si>
    <t>IND 1.5.0</t>
  </si>
  <si>
    <t>Fiche 1.5.1</t>
  </si>
  <si>
    <t>IND 1.5.1</t>
  </si>
  <si>
    <t>Fiche 1.5.2</t>
  </si>
  <si>
    <t>IND 1.5.2</t>
  </si>
  <si>
    <t>Fiche 1.5.3</t>
  </si>
  <si>
    <t>IND 1.5.3</t>
  </si>
  <si>
    <t>Fiche 1.6.1-1.6.2</t>
  </si>
  <si>
    <t>IND 1.6.1</t>
  </si>
  <si>
    <t>IND 1.6.2</t>
  </si>
  <si>
    <t>Le décret n° 88-145 du 15 février 1988 relatif aux agents contractuels de la fonction publique territoriale (article 6).</t>
  </si>
  <si>
    <t>0</t>
  </si>
  <si>
    <t>MP</t>
  </si>
  <si>
    <t>M</t>
  </si>
  <si>
    <t>FILIERE MEDICO-SOCIALE</t>
  </si>
  <si>
    <t>Médecin hors classe</t>
  </si>
  <si>
    <t>TOD3</t>
  </si>
  <si>
    <t>Médecin de 1ère classe</t>
  </si>
  <si>
    <t>TOD2</t>
  </si>
  <si>
    <t>Médecin de 2ème classe</t>
  </si>
  <si>
    <t>TOD1</t>
  </si>
  <si>
    <t>SOD1</t>
  </si>
  <si>
    <t>MEDECINS</t>
  </si>
  <si>
    <t>OD</t>
  </si>
  <si>
    <t>Psychologue hors classe</t>
  </si>
  <si>
    <t>TOH2</t>
  </si>
  <si>
    <t>TOH1</t>
  </si>
  <si>
    <t>SOH1</t>
  </si>
  <si>
    <t xml:space="preserve">PSYCHOLOGUES </t>
  </si>
  <si>
    <t>OH</t>
  </si>
  <si>
    <t>Sage-femme de classe normale</t>
  </si>
  <si>
    <t>TOF1</t>
  </si>
  <si>
    <t>SOF1</t>
  </si>
  <si>
    <t>SAGES-FEMMES</t>
  </si>
  <si>
    <t>OF</t>
  </si>
  <si>
    <t>Puéricultrice-cadre supérieur de santé</t>
  </si>
  <si>
    <t>TOC2</t>
  </si>
  <si>
    <t>Puéricultrice-cadre de santé</t>
  </si>
  <si>
    <t>TOC1</t>
  </si>
  <si>
    <t>PUERICULTRICES-CADRES DE SANTE</t>
  </si>
  <si>
    <t>OC</t>
  </si>
  <si>
    <t>Puéricultrice de classe supérieure</t>
  </si>
  <si>
    <t>TOP2</t>
  </si>
  <si>
    <t>FPE : Fonction publique d'Etat,      FPH : Fonction publique hospitalière,      FPEUE : Fonction publique d'un Etat de l'Union Européenne</t>
  </si>
  <si>
    <t>Recrutements</t>
  </si>
  <si>
    <t>Par</t>
  </si>
  <si>
    <t xml:space="preserve"> Recrutement direct</t>
  </si>
  <si>
    <t>Intégration directe</t>
  </si>
  <si>
    <t>Voie de mutation</t>
  </si>
  <si>
    <t>de la FPE</t>
  </si>
  <si>
    <t>de la FPH</t>
  </si>
  <si>
    <t>1.2.1(3)</t>
  </si>
  <si>
    <t xml:space="preserve"> 1.2.1(4)</t>
  </si>
  <si>
    <t>1.2.1(5)</t>
  </si>
  <si>
    <t>1.2.1(6)</t>
  </si>
  <si>
    <t>1.2.1(7)</t>
  </si>
  <si>
    <t>1.2.1(8)</t>
  </si>
  <si>
    <t>1.2.1(9)</t>
  </si>
  <si>
    <t>1.2.1(10)</t>
  </si>
  <si>
    <t>1.2.1(11)</t>
  </si>
  <si>
    <t>1.2.1(12)</t>
  </si>
  <si>
    <t>1.2.1(13)</t>
  </si>
  <si>
    <t>1.2.1(14)</t>
  </si>
  <si>
    <t>E1</t>
  </si>
  <si>
    <t>Gardien-brigadier stagiaire</t>
  </si>
  <si>
    <t>Garde-champêtre chef stagiaire</t>
  </si>
  <si>
    <t>DPR</t>
  </si>
  <si>
    <t>2.3.1.2</t>
  </si>
  <si>
    <t>Nombre de demandes acceptées</t>
  </si>
  <si>
    <t>DAC</t>
  </si>
  <si>
    <t>2.3.1.3</t>
  </si>
  <si>
    <t>Biologiste, vétérinaire et pharmacien de classe exceptionnelle</t>
  </si>
  <si>
    <t>TEB3</t>
  </si>
  <si>
    <t>Biologiste, vétérinaire et pharmacien hors classe</t>
  </si>
  <si>
    <t>TEB2</t>
  </si>
  <si>
    <t xml:space="preserve">Biologiste, vétérinaire et pharmacien de classe normale </t>
  </si>
  <si>
    <t>TEB1</t>
  </si>
  <si>
    <t>Biologiste, vétérinaire et pharmacien de classe normale stagiaire</t>
  </si>
  <si>
    <t>SEB1</t>
  </si>
  <si>
    <t>BIOLOGISTES, VETERINAIRES, PHARMACIENS</t>
  </si>
  <si>
    <t>EB</t>
  </si>
  <si>
    <t>Technicien paramédical de classe supérieure</t>
  </si>
  <si>
    <t>TET2</t>
  </si>
  <si>
    <t>Technicien paramédical de classe normale</t>
  </si>
  <si>
    <t>TET1</t>
  </si>
  <si>
    <t>Technicien paramédical de classe normale stagiaire</t>
  </si>
  <si>
    <t>SET1</t>
  </si>
  <si>
    <t>TECHNICIENS PARAMEDICAUX</t>
  </si>
  <si>
    <t>ET</t>
  </si>
  <si>
    <t>E</t>
  </si>
  <si>
    <t>FILIERE POLICE MUNICIPALE</t>
  </si>
  <si>
    <t>Directeur principal de police municipale</t>
  </si>
  <si>
    <t>TPU2</t>
  </si>
  <si>
    <t>Directeur de police municipale</t>
  </si>
  <si>
    <t>TPU1</t>
  </si>
  <si>
    <t>Directeur de police municipale stagiaire</t>
  </si>
  <si>
    <t>SPU1</t>
  </si>
  <si>
    <t>DIRECTEUR DE POLICE MUNICIPALE</t>
  </si>
  <si>
    <t>PU</t>
  </si>
  <si>
    <t>Chef de service de police municipale principal de 1ère classe</t>
  </si>
  <si>
    <t>TPC3</t>
  </si>
  <si>
    <t>Chef de service de police municipale principal de 2ème classe</t>
  </si>
  <si>
    <t>TPC2</t>
  </si>
  <si>
    <t xml:space="preserve">Chef de service de police municipale </t>
  </si>
  <si>
    <t>TPC1</t>
  </si>
  <si>
    <t>Chef de service de police municipale stagiaire</t>
  </si>
  <si>
    <t>SPC1</t>
  </si>
  <si>
    <t>Champ : les tableaux qui suivent concernent d'une part les agents titulaires et stagiaires et, d'autre part, les agents contractuels sur emploi permanent</t>
  </si>
  <si>
    <t>dont ceux appartenant au cadre d'emploi d'administrateur, d'attaché, d'ingénieur ou d'ingénieur en chef</t>
  </si>
  <si>
    <t>Voie de concours, Sélection pro</t>
  </si>
  <si>
    <t>Conseiller principal</t>
  </si>
  <si>
    <r>
      <t xml:space="preserve"> Détachés dans une autre structure </t>
    </r>
    <r>
      <rPr>
        <sz val="9"/>
        <rFont val="Arial"/>
        <family val="2"/>
      </rPr>
      <t xml:space="preserve">(article 64) 
</t>
    </r>
    <r>
      <rPr>
        <i/>
        <sz val="9"/>
        <rFont val="Arial"/>
        <family val="2"/>
      </rPr>
      <t xml:space="preserve">Fonctionnaires uniquement </t>
    </r>
    <r>
      <rPr>
        <sz val="9"/>
        <rFont val="Arial"/>
        <family val="2"/>
      </rPr>
      <t>:</t>
    </r>
  </si>
  <si>
    <t>Fonction publique d'Etat</t>
  </si>
  <si>
    <t>Fonction publique hospitalière</t>
  </si>
  <si>
    <t>Autres structures*</t>
  </si>
  <si>
    <t xml:space="preserve">Autres structures* </t>
  </si>
  <si>
    <t>Pour maladie ordinaire</t>
  </si>
  <si>
    <t xml:space="preserve">Pour accidents du travail imputables au service </t>
  </si>
  <si>
    <t xml:space="preserve">Pour accidents du travail imputables au trajet </t>
  </si>
  <si>
    <t xml:space="preserve">Pour longue maladie, disponibilité d'office et grave maladie </t>
  </si>
  <si>
    <t>Pour maladie de longue durée</t>
  </si>
  <si>
    <r>
      <rPr>
        <sz val="10"/>
        <rFont val="Arial"/>
        <family val="2"/>
      </rPr>
      <t>L’indicateur 1.5.1. recense les effectifs en nombre de personnes physiques</t>
    </r>
    <r>
      <rPr>
        <b/>
        <sz val="10"/>
        <rFont val="Arial"/>
        <family val="2"/>
        <charset val="1"/>
      </rPr>
      <t xml:space="preserve"> (1 personne = 1 unité).</t>
    </r>
  </si>
  <si>
    <r>
      <rPr>
        <sz val="10"/>
        <rFont val="Arial"/>
        <family val="2"/>
      </rPr>
      <t>* les</t>
    </r>
    <r>
      <rPr>
        <b/>
        <sz val="10"/>
        <rFont val="Arial"/>
        <family val="2"/>
        <charset val="1"/>
      </rPr>
      <t xml:space="preserve"> fonctionnaires titulaires </t>
    </r>
    <r>
      <rPr>
        <sz val="10"/>
        <rFont val="Arial"/>
        <family val="2"/>
      </rPr>
      <t>occupant un</t>
    </r>
    <r>
      <rPr>
        <b/>
        <sz val="10"/>
        <rFont val="Arial"/>
        <family val="2"/>
        <charset val="1"/>
      </rPr>
      <t xml:space="preserve"> emploi fonctionnel </t>
    </r>
    <r>
      <rPr>
        <sz val="10"/>
        <rFont val="Arial"/>
        <family val="2"/>
      </rPr>
      <t>en application de l'article 53 de la loi du 26 janvier 1984</t>
    </r>
  </si>
  <si>
    <r>
      <t>*</t>
    </r>
    <r>
      <rPr>
        <sz val="10"/>
        <rFont val="Arial"/>
        <family val="2"/>
      </rPr>
      <t xml:space="preserve"> les</t>
    </r>
    <r>
      <rPr>
        <b/>
        <sz val="10"/>
        <rFont val="Arial"/>
        <family val="2"/>
        <charset val="1"/>
      </rPr>
      <t xml:space="preserve"> agents contractuels </t>
    </r>
    <r>
      <rPr>
        <sz val="10"/>
        <rFont val="Arial"/>
        <family val="2"/>
      </rPr>
      <t>recrutés sur un</t>
    </r>
    <r>
      <rPr>
        <b/>
        <sz val="10"/>
        <rFont val="Arial"/>
        <family val="2"/>
        <charset val="1"/>
      </rPr>
      <t xml:space="preserve"> emploi fonctionnel </t>
    </r>
    <r>
      <rPr>
        <sz val="10"/>
        <rFont val="Arial"/>
        <family val="2"/>
      </rPr>
      <t>en application de l'article 47 de la loi du 26 janvier 1984</t>
    </r>
  </si>
  <si>
    <r>
      <rPr>
        <sz val="10"/>
        <rFont val="Arial"/>
        <family val="2"/>
      </rPr>
      <t>* par</t>
    </r>
    <r>
      <rPr>
        <b/>
        <sz val="10"/>
        <rFont val="Arial"/>
        <family val="2"/>
        <charset val="1"/>
      </rPr>
      <t xml:space="preserve"> cadre d'emplois</t>
    </r>
    <r>
      <rPr>
        <sz val="10"/>
        <rFont val="Arial"/>
        <family val="2"/>
      </rPr>
      <t xml:space="preserve">  croisé par le</t>
    </r>
    <r>
      <rPr>
        <b/>
        <sz val="10"/>
        <rFont val="Arial"/>
        <family val="2"/>
        <charset val="1"/>
      </rPr>
      <t xml:space="preserve"> sexe</t>
    </r>
    <r>
      <rPr>
        <sz val="10"/>
        <rFont val="Arial"/>
        <family val="2"/>
      </rPr>
      <t xml:space="preserve"> pour les</t>
    </r>
    <r>
      <rPr>
        <b/>
        <sz val="10"/>
        <rFont val="Arial"/>
        <family val="2"/>
        <charset val="1"/>
      </rPr>
      <t xml:space="preserve"> fonctionnaires</t>
    </r>
    <r>
      <rPr>
        <sz val="10"/>
        <rFont val="Arial"/>
        <family val="2"/>
      </rPr>
      <t xml:space="preserve"> (en colonnes ; tableaux 1 et 2) </t>
    </r>
  </si>
  <si>
    <r>
      <t xml:space="preserve">       </t>
    </r>
    <r>
      <rPr>
        <i/>
        <sz val="10"/>
        <rFont val="Arial"/>
        <family val="2"/>
        <charset val="1"/>
      </rPr>
      <t xml:space="preserve">- les fonctionnaires des </t>
    </r>
    <r>
      <rPr>
        <b/>
        <i/>
        <sz val="10"/>
        <rFont val="Arial"/>
        <family val="2"/>
        <charset val="1"/>
      </rPr>
      <t>filières administratives et techniques</t>
    </r>
    <r>
      <rPr>
        <i/>
        <sz val="10"/>
        <rFont val="Arial"/>
        <family val="2"/>
        <charset val="1"/>
      </rPr>
      <t xml:space="preserve"> occupant un emploi fonctionnel de direction doivent être recensés selon leur </t>
    </r>
    <r>
      <rPr>
        <b/>
        <i/>
        <sz val="10"/>
        <rFont val="Arial"/>
        <family val="2"/>
        <charset val="1"/>
      </rPr>
      <t>grade de détachement</t>
    </r>
    <r>
      <rPr>
        <i/>
        <sz val="10"/>
        <rFont val="Arial"/>
        <family val="2"/>
        <charset val="1"/>
      </rPr>
      <t>. Parmi ceux-ci, on comptabilise ceux relevant des cadres d'emplois d'administrateur, d'attaché ou d'ingénieur.</t>
    </r>
  </si>
  <si>
    <r>
      <rPr>
        <sz val="10"/>
        <rFont val="Arial"/>
        <family val="2"/>
      </rPr>
      <t>* par</t>
    </r>
    <r>
      <rPr>
        <b/>
        <sz val="10"/>
        <rFont val="Arial"/>
        <family val="2"/>
        <charset val="1"/>
      </rPr>
      <t xml:space="preserve"> sexe</t>
    </r>
    <r>
      <rPr>
        <sz val="10"/>
        <rFont val="Arial"/>
        <family val="2"/>
      </rPr>
      <t xml:space="preserve"> pour les</t>
    </r>
    <r>
      <rPr>
        <b/>
        <sz val="10"/>
        <rFont val="Arial"/>
        <family val="2"/>
        <charset val="1"/>
      </rPr>
      <t xml:space="preserve"> contractuels</t>
    </r>
    <r>
      <rPr>
        <sz val="10"/>
        <rFont val="Arial"/>
        <family val="2"/>
      </rPr>
      <t xml:space="preserve"> </t>
    </r>
    <r>
      <rPr>
        <b/>
        <sz val="10"/>
        <rFont val="Arial"/>
        <family val="2"/>
        <charset val="1"/>
      </rPr>
      <t xml:space="preserve">sur emploi permanent </t>
    </r>
    <r>
      <rPr>
        <sz val="10"/>
        <rFont val="Arial"/>
        <family val="2"/>
      </rPr>
      <t xml:space="preserve">(en colonnes ; tableau 3) </t>
    </r>
  </si>
  <si>
    <r>
      <t xml:space="preserve">       - les contractuels sur emploi permanent sont recensés uniquement sur l'</t>
    </r>
    <r>
      <rPr>
        <b/>
        <i/>
        <sz val="10"/>
        <rFont val="Arial"/>
        <family val="2"/>
      </rPr>
      <t>emploi fonctionnel occupé</t>
    </r>
    <r>
      <rPr>
        <i/>
        <sz val="10"/>
        <rFont val="Arial"/>
        <family val="2"/>
      </rPr>
      <t>.</t>
    </r>
  </si>
  <si>
    <r>
      <rPr>
        <sz val="10"/>
        <rFont val="Arial"/>
        <family val="2"/>
      </rPr>
      <t>L’indicateur 1.5.2. recense les effectifs en nombre de personnes physiques</t>
    </r>
    <r>
      <rPr>
        <b/>
        <sz val="10"/>
        <rFont val="Arial"/>
        <family val="2"/>
        <charset val="1"/>
      </rPr>
      <t xml:space="preserve"> (1 personne = 1 unité).</t>
    </r>
  </si>
  <si>
    <r>
      <t xml:space="preserve">* les </t>
    </r>
    <r>
      <rPr>
        <b/>
        <sz val="10"/>
        <rFont val="Arial"/>
        <family val="2"/>
        <charset val="1"/>
      </rPr>
      <t>fonctionnaires</t>
    </r>
    <r>
      <rPr>
        <sz val="10"/>
        <rFont val="Arial"/>
        <family val="2"/>
      </rPr>
      <t xml:space="preserve"> stagiaires et titulaires</t>
    </r>
    <r>
      <rPr>
        <b/>
        <sz val="10"/>
        <rFont val="Arial"/>
        <family val="2"/>
        <charset val="1"/>
      </rPr>
      <t xml:space="preserve"> </t>
    </r>
    <r>
      <rPr>
        <sz val="10"/>
        <rFont val="Arial"/>
        <family val="2"/>
      </rPr>
      <t>(cf. fiche 1.1.1.)</t>
    </r>
  </si>
  <si>
    <r>
      <rPr>
        <sz val="10"/>
        <rFont val="Arial"/>
        <family val="2"/>
      </rPr>
      <t xml:space="preserve">* pour ce qui correspond au </t>
    </r>
    <r>
      <rPr>
        <b/>
        <sz val="10"/>
        <rFont val="Arial"/>
        <family val="2"/>
        <charset val="1"/>
      </rPr>
      <t xml:space="preserve">premier mouvement de l'année </t>
    </r>
  </si>
  <si>
    <r>
      <t xml:space="preserve">Exemple : </t>
    </r>
    <r>
      <rPr>
        <i/>
        <sz val="10"/>
        <rFont val="Arial"/>
        <family val="2"/>
        <charset val="1"/>
      </rPr>
      <t>les agents qui demeurent dans la collectivité après un changement de statut ne doivent pas être comptés ici.</t>
    </r>
  </si>
  <si>
    <r>
      <rPr>
        <sz val="10"/>
        <rFont val="Arial"/>
        <family val="2"/>
      </rPr>
      <t xml:space="preserve">* </t>
    </r>
    <r>
      <rPr>
        <b/>
        <sz val="10"/>
        <rFont val="Arial"/>
        <family val="2"/>
        <charset val="1"/>
      </rPr>
      <t xml:space="preserve">par filière </t>
    </r>
    <r>
      <rPr>
        <sz val="10"/>
        <rFont val="Arial"/>
        <family val="2"/>
      </rPr>
      <t xml:space="preserve">déclinée par </t>
    </r>
    <r>
      <rPr>
        <b/>
        <sz val="10"/>
        <rFont val="Arial"/>
        <family val="2"/>
        <charset val="1"/>
      </rPr>
      <t>cadre d'emplois</t>
    </r>
    <r>
      <rPr>
        <sz val="10"/>
        <rFont val="Arial"/>
        <family val="2"/>
      </rPr>
      <t xml:space="preserve"> (en lignes)</t>
    </r>
  </si>
  <si>
    <r>
      <t>Remarque importante :</t>
    </r>
    <r>
      <rPr>
        <b/>
        <i/>
        <sz val="10"/>
        <rFont val="Arial"/>
        <family val="2"/>
      </rPr>
      <t xml:space="preserve"> </t>
    </r>
    <r>
      <rPr>
        <i/>
        <sz val="10"/>
        <rFont val="Arial"/>
        <family val="2"/>
      </rPr>
      <t xml:space="preserve">les </t>
    </r>
    <r>
      <rPr>
        <b/>
        <i/>
        <sz val="10"/>
        <rFont val="Arial"/>
        <family val="2"/>
      </rPr>
      <t>fonctionnaires</t>
    </r>
    <r>
      <rPr>
        <i/>
        <sz val="10"/>
        <rFont val="Arial"/>
        <family val="2"/>
      </rPr>
      <t xml:space="preserve"> recrutés sur un </t>
    </r>
    <r>
      <rPr>
        <b/>
        <i/>
        <u/>
        <sz val="10"/>
        <rFont val="Arial"/>
        <family val="2"/>
      </rPr>
      <t>emploi fonctionnel de direction</t>
    </r>
    <r>
      <rPr>
        <i/>
        <sz val="10"/>
        <rFont val="Arial"/>
        <family val="2"/>
      </rPr>
      <t xml:space="preserve"> doivent être comptabilisés uniquement dans leurs</t>
    </r>
    <r>
      <rPr>
        <b/>
        <i/>
        <sz val="10"/>
        <rFont val="Arial"/>
        <family val="2"/>
      </rPr>
      <t xml:space="preserve"> cadres d'emplois et grades</t>
    </r>
    <r>
      <rPr>
        <i/>
        <sz val="10"/>
        <rFont val="Arial"/>
        <family val="2"/>
      </rPr>
      <t xml:space="preserve"> respectifs même s'ils ont déjà été comptabilisés dans l'indicateur 1.5.1.</t>
    </r>
  </si>
  <si>
    <r>
      <rPr>
        <sz val="10"/>
        <rFont val="Arial"/>
        <family val="2"/>
      </rPr>
      <t xml:space="preserve">* selon le </t>
    </r>
    <r>
      <rPr>
        <b/>
        <sz val="10"/>
        <rFont val="Arial"/>
        <family val="2"/>
        <charset val="1"/>
      </rPr>
      <t>motif de recrutement</t>
    </r>
  </si>
  <si>
    <r>
      <t xml:space="preserve">- colonnes 1.5.2(0) à 1.5.2(2) : par </t>
    </r>
    <r>
      <rPr>
        <b/>
        <sz val="10"/>
        <rFont val="Arial"/>
        <family val="2"/>
        <charset val="1"/>
      </rPr>
      <t>recrutement direct</t>
    </r>
    <r>
      <rPr>
        <sz val="10"/>
        <rFont val="Arial"/>
        <family val="2"/>
      </rPr>
      <t xml:space="preserve"> </t>
    </r>
  </si>
  <si>
    <r>
      <t xml:space="preserve">- colonnes 1.5.2(3) à 1.5.2(5) : par voie de </t>
    </r>
    <r>
      <rPr>
        <b/>
        <sz val="10"/>
        <rFont val="Arial"/>
        <family val="2"/>
        <charset val="1"/>
      </rPr>
      <t>concours</t>
    </r>
    <r>
      <rPr>
        <sz val="10"/>
        <rFont val="Arial"/>
        <family val="2"/>
      </rPr>
      <t xml:space="preserve"> ou de </t>
    </r>
    <r>
      <rPr>
        <b/>
        <sz val="10"/>
        <rFont val="Arial"/>
        <family val="2"/>
        <charset val="1"/>
      </rPr>
      <t>sélection professionnelle</t>
    </r>
    <r>
      <rPr>
        <sz val="10"/>
        <rFont val="Arial"/>
        <family val="2"/>
      </rPr>
      <t xml:space="preserve"> </t>
    </r>
  </si>
  <si>
    <r>
      <t>- colonne 1.5.2(6) : recrutement</t>
    </r>
    <r>
      <rPr>
        <sz val="10"/>
        <rFont val="Arial"/>
        <family val="2"/>
      </rPr>
      <t xml:space="preserve"> correspondant à l'</t>
    </r>
    <r>
      <rPr>
        <b/>
        <sz val="10"/>
        <rFont val="Arial"/>
        <family val="2"/>
        <charset val="1"/>
      </rPr>
      <t>article 38</t>
    </r>
    <r>
      <rPr>
        <sz val="10"/>
        <rFont val="Arial"/>
        <family val="2"/>
      </rPr>
      <t xml:space="preserve"> de la loi du 26 janvier 1984 </t>
    </r>
  </si>
  <si>
    <r>
      <t>- colonne 1.5.2(7) : par</t>
    </r>
    <r>
      <rPr>
        <b/>
        <sz val="10"/>
        <rFont val="Arial"/>
        <family val="2"/>
        <charset val="1"/>
      </rPr>
      <t xml:space="preserve"> intégration directe</t>
    </r>
    <r>
      <rPr>
        <i/>
        <sz val="10"/>
        <rFont val="Arial"/>
        <family val="2"/>
        <charset val="1"/>
      </rPr>
      <t xml:space="preserve"> </t>
    </r>
    <r>
      <rPr>
        <sz val="10"/>
        <rFont val="Arial"/>
        <family val="2"/>
      </rPr>
      <t>(article 13bis alinéa 1 et 14 de la loi du 13 juillet 1983, et article 68-1 de la loi du 26 janvier 1984)</t>
    </r>
  </si>
  <si>
    <r>
      <t xml:space="preserve">- colonne 1.5.2(8) : par voie de </t>
    </r>
    <r>
      <rPr>
        <b/>
        <sz val="10"/>
        <rFont val="Arial"/>
        <family val="2"/>
        <charset val="1"/>
      </rPr>
      <t>mutation d’une autre collectivité</t>
    </r>
    <r>
      <rPr>
        <sz val="10"/>
        <rFont val="Arial"/>
        <family val="2"/>
      </rPr>
      <t xml:space="preserve"> </t>
    </r>
  </si>
  <si>
    <r>
      <t xml:space="preserve">- colonnes 1.5.2(9) à 1.5.2(12) : par voie de </t>
    </r>
    <r>
      <rPr>
        <b/>
        <sz val="10"/>
        <rFont val="Arial"/>
        <family val="2"/>
        <charset val="1"/>
      </rPr>
      <t>détachement d’une autre structure</t>
    </r>
    <r>
      <rPr>
        <sz val="10"/>
        <rFont val="Arial"/>
        <family val="2"/>
      </rPr>
      <t xml:space="preserve"> </t>
    </r>
  </si>
  <si>
    <r>
      <t>Remarque :</t>
    </r>
    <r>
      <rPr>
        <b/>
        <i/>
        <sz val="10"/>
        <rFont val="Arial"/>
        <family val="2"/>
      </rPr>
      <t xml:space="preserve"> </t>
    </r>
    <r>
      <rPr>
        <i/>
        <sz val="10"/>
        <rFont val="Arial"/>
        <family val="2"/>
      </rPr>
      <t>Ne pas comptabiliser les fonctionnaires détachés au sein de votre collectivité.</t>
    </r>
  </si>
  <si>
    <r>
      <t xml:space="preserve">- colonne 1.5.2(13) : par </t>
    </r>
    <r>
      <rPr>
        <b/>
        <sz val="10"/>
        <rFont val="Arial"/>
        <family val="2"/>
        <charset val="1"/>
      </rPr>
      <t>transfert de compétence</t>
    </r>
    <r>
      <rPr>
        <sz val="10"/>
        <rFont val="Arial"/>
        <family val="2"/>
      </rPr>
      <t xml:space="preserve"> (dont reprise d'activité) </t>
    </r>
  </si>
  <si>
    <r>
      <t>- colonnes 1.5.2(14) et 1.5.2(15) : par voie de</t>
    </r>
    <r>
      <rPr>
        <b/>
        <sz val="10"/>
        <rFont val="Arial"/>
        <family val="2"/>
        <charset val="1"/>
      </rPr>
      <t xml:space="preserve"> réintégration </t>
    </r>
    <r>
      <rPr>
        <sz val="10"/>
        <rFont val="Arial"/>
        <family val="2"/>
      </rPr>
      <t xml:space="preserve">après une disponibilité ou autre (congé parental, détachement) </t>
    </r>
  </si>
  <si>
    <r>
      <t xml:space="preserve">- colonne 1.5.2(16) : retour d'agents en </t>
    </r>
    <r>
      <rPr>
        <b/>
        <sz val="10"/>
        <rFont val="Arial"/>
        <family val="2"/>
        <charset val="1"/>
      </rPr>
      <t>position particulière</t>
    </r>
    <r>
      <rPr>
        <sz val="10"/>
        <rFont val="Arial"/>
        <family val="2"/>
      </rPr>
      <t>.</t>
    </r>
  </si>
  <si>
    <r>
      <t xml:space="preserve">* selon les </t>
    </r>
    <r>
      <rPr>
        <b/>
        <sz val="10"/>
        <rFont val="Arial"/>
        <family val="2"/>
        <charset val="1"/>
      </rPr>
      <t>caractéristiques de leur emploi</t>
    </r>
    <r>
      <rPr>
        <sz val="10"/>
        <rFont val="Arial"/>
        <family val="2"/>
      </rPr>
      <t xml:space="preserve"> et le</t>
    </r>
    <r>
      <rPr>
        <b/>
        <sz val="10"/>
        <rFont val="Arial"/>
        <family val="2"/>
        <charset val="1"/>
      </rPr>
      <t xml:space="preserve"> sexe</t>
    </r>
    <r>
      <rPr>
        <sz val="10"/>
        <rFont val="Arial"/>
        <family val="2"/>
      </rPr>
      <t xml:space="preserve"> (en colonnes) </t>
    </r>
  </si>
  <si>
    <r>
      <t>- colonnes 1.5.2(17) et 1.5.2(18) :</t>
    </r>
    <r>
      <rPr>
        <b/>
        <sz val="10"/>
        <rFont val="Arial"/>
        <family val="2"/>
        <charset val="1"/>
      </rPr>
      <t xml:space="preserve"> temps complet</t>
    </r>
  </si>
  <si>
    <r>
      <t>- colonnes 1.5.2(19) et 1.5.2(20) :</t>
    </r>
    <r>
      <rPr>
        <b/>
        <sz val="10"/>
        <rFont val="Arial"/>
        <family val="2"/>
        <charset val="1"/>
      </rPr>
      <t xml:space="preserve"> temps non complet</t>
    </r>
  </si>
  <si>
    <r>
      <t xml:space="preserve">- </t>
    </r>
    <r>
      <rPr>
        <b/>
        <sz val="10"/>
        <color indexed="8"/>
        <rFont val="Arial"/>
        <family val="2"/>
      </rPr>
      <t>détachement</t>
    </r>
    <r>
      <rPr>
        <sz val="10"/>
        <color indexed="8"/>
        <rFont val="Arial"/>
        <family val="2"/>
      </rPr>
      <t xml:space="preserve"> auprès d’une </t>
    </r>
    <r>
      <rPr>
        <b/>
        <sz val="10"/>
        <color indexed="8"/>
        <rFont val="Arial"/>
        <family val="2"/>
      </rPr>
      <t>autre collectivité ou structure</t>
    </r>
    <r>
      <rPr>
        <sz val="10"/>
        <color indexed="8"/>
        <rFont val="Arial"/>
        <family val="2"/>
      </rPr>
      <t xml:space="preserve"> (article 64 de la loi du 26 janvier 1984) ;</t>
    </r>
  </si>
  <si>
    <r>
      <t>-</t>
    </r>
    <r>
      <rPr>
        <b/>
        <sz val="10"/>
        <color indexed="8"/>
        <rFont val="Arial"/>
        <family val="2"/>
      </rPr>
      <t xml:space="preserve"> placement</t>
    </r>
    <r>
      <rPr>
        <sz val="10"/>
        <color indexed="8"/>
        <rFont val="Arial"/>
        <family val="2"/>
      </rPr>
      <t xml:space="preserve"> dans une</t>
    </r>
    <r>
      <rPr>
        <b/>
        <sz val="10"/>
        <color indexed="8"/>
        <rFont val="Arial"/>
        <family val="2"/>
      </rPr>
      <t xml:space="preserve"> position autre</t>
    </r>
    <r>
      <rPr>
        <sz val="10"/>
        <color indexed="8"/>
        <rFont val="Arial"/>
        <family val="2"/>
      </rPr>
      <t xml:space="preserve"> que l</t>
    </r>
    <r>
      <rPr>
        <b/>
        <sz val="10"/>
        <color indexed="8"/>
        <rFont val="Arial"/>
        <family val="2"/>
      </rPr>
      <t>'activité</t>
    </r>
    <r>
      <rPr>
        <sz val="10"/>
        <color indexed="8"/>
        <rFont val="Arial"/>
        <family val="2"/>
      </rPr>
      <t xml:space="preserve"> ou le</t>
    </r>
    <r>
      <rPr>
        <b/>
        <sz val="10"/>
        <color indexed="8"/>
        <rFont val="Arial"/>
        <family val="2"/>
      </rPr>
      <t xml:space="preserve"> détachement</t>
    </r>
    <r>
      <rPr>
        <sz val="10"/>
        <color indexed="8"/>
        <rFont val="Arial"/>
        <family val="2"/>
      </rPr>
      <t xml:space="preserve"> (hors congé parental cité plus haut) : mise en disponibilité (de droit ou sur demande), congé parental, accomplissement du service national, congé spécial (articles 72  et 99 de la loi du 26 janvier 1984) ; </t>
    </r>
  </si>
  <si>
    <r>
      <t xml:space="preserve">- </t>
    </r>
    <r>
      <rPr>
        <b/>
        <sz val="10"/>
        <color indexed="8"/>
        <rFont val="Arial"/>
        <family val="2"/>
      </rPr>
      <t>mutation</t>
    </r>
    <r>
      <rPr>
        <sz val="10"/>
        <color indexed="8"/>
        <rFont val="Arial"/>
        <family val="2"/>
      </rPr>
      <t xml:space="preserve"> dans une autre collectivité (article 51 de la loi du 26 janvier 1984) ;</t>
    </r>
  </si>
  <si>
    <r>
      <t xml:space="preserve">- </t>
    </r>
    <r>
      <rPr>
        <b/>
        <sz val="10"/>
        <color indexed="8"/>
        <rFont val="Arial"/>
        <family val="2"/>
      </rPr>
      <t>fin de détachement</t>
    </r>
    <r>
      <rPr>
        <sz val="10"/>
        <color indexed="8"/>
        <rFont val="Arial"/>
        <family val="2"/>
      </rPr>
      <t xml:space="preserve"> auprès de votre collectivité d’un fonctionnaire issu d’une autre collectivité ou d’une autre Fonction Publique ;</t>
    </r>
  </si>
  <si>
    <r>
      <t xml:space="preserve">- </t>
    </r>
    <r>
      <rPr>
        <b/>
        <sz val="10"/>
        <color indexed="8"/>
        <rFont val="Arial"/>
        <family val="2"/>
      </rPr>
      <t>décharge d'emploi et de fonction</t>
    </r>
    <r>
      <rPr>
        <sz val="10"/>
        <color indexed="8"/>
        <rFont val="Arial"/>
        <family val="2"/>
      </rPr>
      <t xml:space="preserve"> (autre que pour exercice d'un mandat syndical)</t>
    </r>
  </si>
  <si>
    <r>
      <t xml:space="preserve">- </t>
    </r>
    <r>
      <rPr>
        <b/>
        <sz val="10"/>
        <color indexed="8"/>
        <rFont val="Arial"/>
        <family val="2"/>
      </rPr>
      <t xml:space="preserve">prise en charge par le CNFPT ou un CDG </t>
    </r>
    <r>
      <rPr>
        <sz val="10"/>
        <color indexed="8"/>
        <rFont val="Arial"/>
        <family val="2"/>
      </rPr>
      <t>à l’issue de la période de surnombre (article 97 de la loi du 26 janvier 1984) ;</t>
    </r>
  </si>
  <si>
    <r>
      <t>motifs concernant uniquement les contractuels</t>
    </r>
    <r>
      <rPr>
        <sz val="10"/>
        <color indexed="8"/>
        <rFont val="Arial"/>
        <family val="2"/>
      </rPr>
      <t xml:space="preserve"> (tableau 1.5.0.2)  :</t>
    </r>
  </si>
  <si>
    <r>
      <t xml:space="preserve">- </t>
    </r>
    <r>
      <rPr>
        <b/>
        <sz val="10"/>
        <color indexed="8"/>
        <rFont val="Arial"/>
        <family val="2"/>
      </rPr>
      <t xml:space="preserve">congé sans traitement </t>
    </r>
    <r>
      <rPr>
        <sz val="10"/>
        <color indexed="8"/>
        <rFont val="Arial"/>
        <family val="2"/>
      </rPr>
      <t xml:space="preserve">(convenances personnelles, suivi de conjoint) </t>
    </r>
  </si>
  <si>
    <r>
      <t xml:space="preserve">- </t>
    </r>
    <r>
      <rPr>
        <b/>
        <sz val="10"/>
        <color indexed="8"/>
        <rFont val="Arial"/>
        <family val="2"/>
      </rPr>
      <t>fin de contrat</t>
    </r>
    <r>
      <rPr>
        <sz val="10"/>
        <color indexed="8"/>
        <rFont val="Arial"/>
        <family val="2"/>
      </rPr>
      <t xml:space="preserve"> non suivie d’une titularisation ou d’une nomination stagiaire (remplaçant et autre)</t>
    </r>
  </si>
  <si>
    <r>
      <t>*</t>
    </r>
    <r>
      <rPr>
        <sz val="10"/>
        <color indexed="8"/>
        <rFont val="Arial"/>
        <family val="2"/>
      </rPr>
      <t>selon le</t>
    </r>
    <r>
      <rPr>
        <b/>
        <sz val="10"/>
        <color indexed="8"/>
        <rFont val="Arial"/>
        <family val="2"/>
      </rPr>
      <t xml:space="preserve"> sexe</t>
    </r>
    <r>
      <rPr>
        <sz val="10"/>
        <color indexed="8"/>
        <rFont val="Arial"/>
        <family val="2"/>
      </rPr>
      <t xml:space="preserve"> et la</t>
    </r>
    <r>
      <rPr>
        <b/>
        <sz val="10"/>
        <color indexed="8"/>
        <rFont val="Arial"/>
        <family val="2"/>
      </rPr>
      <t xml:space="preserve"> catégorie hiérarchique</t>
    </r>
    <r>
      <rPr>
        <sz val="10"/>
        <color indexed="8"/>
        <rFont val="Arial"/>
        <family val="2"/>
      </rPr>
      <t xml:space="preserve"> (en colonnes)</t>
    </r>
  </si>
  <si>
    <r>
      <t xml:space="preserve">Le compte personnel de formation 
</t>
    </r>
    <r>
      <rPr>
        <sz val="10"/>
        <rFont val="Arial"/>
        <family val="2"/>
      </rPr>
      <t xml:space="preserve">Depuis le 1er janvier 2017, le compte personnel de formation (CPF) est une composante du compte personnel d'activité (CPA) au même titre que le compte d’engagement citoyen (CEC), qui est ouvert aux fonctionnaires et aux contractuels de la fonction publique. 
Le compte personnel de formation (CPF) a pour objectifs, par l’utilisation des droits qu’il permet d’acquérir, de renforcer l’autonomie de son titulaire et de faciliter son évolution professionnelle. Ces droits sont attachés à la personne et sont donc conservés lorsqu’un agent change d’employeur, que cet employeur relève du secteur public ou du secteur privé. Ils seront consultables, au plus tôt le 1er janvier 2018 et au plus tard le 1er janvier 2020, sur le portail « moncompteactivité.gouv.fr » géré par la Caisse des dépôts et consignations.
Pour en savoir plus sur le CPA et son application dans la fonction publique, rendez-vous sur le portail de la fonction publique.
</t>
    </r>
    <r>
      <rPr>
        <i/>
        <sz val="10"/>
        <rFont val="Arial"/>
        <family val="2"/>
        <charset val="1"/>
      </rPr>
      <t xml:space="preserve">Source :  cnfpt.fr
</t>
    </r>
    <r>
      <rPr>
        <sz val="10"/>
        <rFont val="Arial"/>
        <family val="2"/>
      </rPr>
      <t xml:space="preserve">
</t>
    </r>
    <r>
      <rPr>
        <b/>
        <sz val="10"/>
        <color indexed="45"/>
        <rFont val="Arial"/>
        <family val="2"/>
      </rPr>
      <t xml:space="preserve">Remarque </t>
    </r>
    <r>
      <rPr>
        <sz val="10"/>
        <color indexed="45"/>
        <rFont val="Arial"/>
        <family val="2"/>
      </rPr>
      <t>:</t>
    </r>
    <r>
      <rPr>
        <sz val="10"/>
        <rFont val="Arial"/>
        <family val="2"/>
      </rPr>
      <t xml:space="preserve"> Le CPF remplace le DIF
Fonctionnaires et contractuels de droit public :
Les agents ont un CPF depuis le 1er janvier 2017 qui se substitue au DIF (droit individuel à la formation). À compter de cette date, ils commencent donc à cumuler des heures sur ce CPF. Les heures inscrites au DIF au 31 décembre 2016 peuvent être utilisées pour bénéficier de formations au titre du CPF.
</t>
    </r>
    <r>
      <rPr>
        <i/>
        <sz val="10"/>
        <rFont val="Arial"/>
        <family val="2"/>
        <charset val="1"/>
      </rPr>
      <t>Source :  cnfpt.fr</t>
    </r>
  </si>
  <si>
    <r>
      <rPr>
        <b/>
        <sz val="10"/>
        <rFont val="Arial"/>
        <family val="2"/>
      </rPr>
      <t xml:space="preserve"> * Quels sont les sanctions à recenser  ?</t>
    </r>
    <r>
      <rPr>
        <sz val="10"/>
        <rFont val="Arial"/>
        <family val="2"/>
      </rPr>
      <t xml:space="preserve">  </t>
    </r>
    <r>
      <rPr>
        <i/>
        <sz val="10"/>
        <rFont val="Arial"/>
        <family val="2"/>
        <charset val="1"/>
      </rPr>
      <t>(un tableau par sanction)</t>
    </r>
  </si>
  <si>
    <r>
      <rPr>
        <sz val="10"/>
        <rFont val="Arial"/>
        <family val="2"/>
      </rPr>
      <t xml:space="preserve">       </t>
    </r>
    <r>
      <rPr>
        <i/>
        <sz val="10"/>
        <rFont val="Arial"/>
        <family val="2"/>
        <charset val="1"/>
      </rPr>
      <t xml:space="preserve">- les fonctionnaires des </t>
    </r>
    <r>
      <rPr>
        <b/>
        <i/>
        <sz val="10"/>
        <rFont val="Arial"/>
        <family val="2"/>
        <charset val="1"/>
      </rPr>
      <t>filières administratives et techniques</t>
    </r>
    <r>
      <rPr>
        <i/>
        <sz val="10"/>
        <rFont val="Arial"/>
        <family val="2"/>
        <charset val="1"/>
      </rPr>
      <t xml:space="preserve"> occupant un emploi fonctionnel de direction doivent être recensés selon leur </t>
    </r>
    <r>
      <rPr>
        <b/>
        <i/>
        <sz val="10"/>
        <rFont val="Arial"/>
        <family val="2"/>
        <charset val="1"/>
      </rPr>
      <t>grade de détachement</t>
    </r>
    <r>
      <rPr>
        <i/>
        <sz val="10"/>
        <rFont val="Arial"/>
        <family val="2"/>
        <charset val="1"/>
      </rPr>
      <t>. Parmi ceux-ci, on comptabilise ceux ayant un cadre d'emploi d'administrateur, d'attaché ou d'ingénieur.</t>
    </r>
  </si>
  <si>
    <r>
      <t xml:space="preserve">         - les contractuels sur emploi permanent sont recensés uniquement sur l</t>
    </r>
    <r>
      <rPr>
        <b/>
        <i/>
        <sz val="10"/>
        <rFont val="Arial"/>
        <family val="2"/>
      </rPr>
      <t>'emploi fonctionnel occupé</t>
    </r>
    <r>
      <rPr>
        <i/>
        <sz val="10"/>
        <rFont val="Arial"/>
        <family val="2"/>
      </rPr>
      <t>.</t>
    </r>
  </si>
  <si>
    <r>
      <rPr>
        <sz val="10"/>
        <rFont val="Arial"/>
        <family val="2"/>
      </rPr>
      <t>* par</t>
    </r>
    <r>
      <rPr>
        <b/>
        <sz val="10"/>
        <rFont val="Arial"/>
        <family val="2"/>
        <charset val="1"/>
      </rPr>
      <t xml:space="preserve">  sexe </t>
    </r>
  </si>
  <si>
    <r>
      <rPr>
        <sz val="10"/>
        <rFont val="Arial"/>
        <family val="2"/>
      </rPr>
      <t>L’indicateur 1.1.2. détaille les effectifs, en nombre de personnes physiques</t>
    </r>
    <r>
      <rPr>
        <b/>
        <sz val="10"/>
        <rFont val="Arial"/>
        <family val="2"/>
        <charset val="1"/>
      </rPr>
      <t xml:space="preserve"> (1 personne = 1 unité),</t>
    </r>
    <r>
      <rPr>
        <sz val="10"/>
        <rFont val="Arial"/>
        <family val="2"/>
      </rPr>
      <t xml:space="preserve"> </t>
    </r>
    <r>
      <rPr>
        <u/>
        <sz val="10"/>
        <rFont val="Arial"/>
        <family val="2"/>
        <charset val="1"/>
      </rPr>
      <t>déjà recensés à l’indicateur 1.1.1.</t>
    </r>
    <r>
      <rPr>
        <sz val="10"/>
        <rFont val="Arial"/>
        <family val="2"/>
      </rPr>
      <t xml:space="preserve"> dans la colonne 1.1.1(1).</t>
    </r>
  </si>
  <si>
    <r>
      <t>*</t>
    </r>
    <r>
      <rPr>
        <b/>
        <sz val="10"/>
        <rFont val="Arial"/>
        <family val="2"/>
        <charset val="1"/>
      </rPr>
      <t xml:space="preserve"> </t>
    </r>
    <r>
      <rPr>
        <sz val="10"/>
        <rFont val="Arial"/>
        <family val="2"/>
      </rPr>
      <t>les</t>
    </r>
    <r>
      <rPr>
        <b/>
        <sz val="10"/>
        <rFont val="Arial"/>
        <family val="2"/>
        <charset val="1"/>
      </rPr>
      <t xml:space="preserve"> fonctionnaires </t>
    </r>
  </si>
  <si>
    <r>
      <rPr>
        <sz val="10"/>
        <rFont val="Arial"/>
        <family val="2"/>
      </rPr>
      <t xml:space="preserve">* occupant un </t>
    </r>
    <r>
      <rPr>
        <b/>
        <sz val="10"/>
        <rFont val="Arial"/>
        <family val="2"/>
        <charset val="1"/>
      </rPr>
      <t xml:space="preserve">emploi permanent </t>
    </r>
    <r>
      <rPr>
        <b/>
        <u/>
        <sz val="10"/>
        <rFont val="Arial"/>
        <family val="2"/>
        <charset val="1"/>
      </rPr>
      <t>à temps complet</t>
    </r>
  </si>
  <si>
    <r>
      <rPr>
        <sz val="10"/>
        <rFont val="Arial"/>
        <family val="2"/>
      </rPr>
      <t xml:space="preserve">* par </t>
    </r>
    <r>
      <rPr>
        <b/>
        <sz val="10"/>
        <rFont val="Arial"/>
        <family val="2"/>
        <charset val="1"/>
      </rPr>
      <t xml:space="preserve">filière </t>
    </r>
    <r>
      <rPr>
        <sz val="10"/>
        <rFont val="Arial"/>
        <family val="2"/>
      </rPr>
      <t>et</t>
    </r>
    <r>
      <rPr>
        <b/>
        <sz val="10"/>
        <rFont val="Arial"/>
        <family val="2"/>
        <charset val="1"/>
      </rPr>
      <t xml:space="preserve"> cadre d'emplois </t>
    </r>
    <r>
      <rPr>
        <sz val="10"/>
        <rFont val="Arial"/>
        <family val="2"/>
      </rPr>
      <t>(en lignes), selon les indications fournies dans la</t>
    </r>
    <r>
      <rPr>
        <u/>
        <sz val="10"/>
        <rFont val="Arial"/>
        <family val="2"/>
        <charset val="1"/>
      </rPr>
      <t xml:space="preserve"> fiche de l’indicateur 1.1.1</t>
    </r>
    <r>
      <rPr>
        <sz val="10"/>
        <rFont val="Arial"/>
        <family val="2"/>
      </rPr>
      <t>.</t>
    </r>
  </si>
  <si>
    <r>
      <t xml:space="preserve">* par </t>
    </r>
    <r>
      <rPr>
        <b/>
        <sz val="10"/>
        <rFont val="Arial"/>
        <family val="2"/>
        <charset val="1"/>
      </rPr>
      <t>quotité de temps de travai</t>
    </r>
    <r>
      <rPr>
        <sz val="10"/>
        <rFont val="Arial"/>
        <family val="2"/>
      </rPr>
      <t xml:space="preserve">l et par </t>
    </r>
    <r>
      <rPr>
        <b/>
        <sz val="10"/>
        <rFont val="Arial"/>
        <family val="2"/>
        <charset val="1"/>
      </rPr>
      <t xml:space="preserve">sexe </t>
    </r>
    <r>
      <rPr>
        <sz val="10"/>
        <rFont val="Arial"/>
        <family val="2"/>
      </rPr>
      <t>(en colonnes)</t>
    </r>
  </si>
  <si>
    <r>
      <t xml:space="preserve">- colonnes 1.1.2(1) et 1.1.2(2) :  </t>
    </r>
    <r>
      <rPr>
        <b/>
        <sz val="10"/>
        <rFont val="Arial"/>
        <family val="2"/>
        <charset val="1"/>
      </rPr>
      <t>temps plein</t>
    </r>
  </si>
  <si>
    <r>
      <t>- colonnes 1.1.2(3) à 1.1.2(8) :</t>
    </r>
    <r>
      <rPr>
        <b/>
        <sz val="10"/>
        <rFont val="Arial"/>
        <family val="2"/>
        <charset val="1"/>
      </rPr>
      <t xml:space="preserve"> temps partiel</t>
    </r>
  </si>
  <si>
    <t>categ_hier</t>
  </si>
  <si>
    <t>Motif de départ</t>
  </si>
  <si>
    <t>Cat. A</t>
  </si>
  <si>
    <t>Cat. B</t>
  </si>
  <si>
    <t>Cat. C</t>
  </si>
  <si>
    <r>
      <t>. Décharge totale de service pour exercice de mandats syndicaux</t>
    </r>
    <r>
      <rPr>
        <b/>
        <sz val="9"/>
        <rFont val="Arial"/>
        <family val="2"/>
      </rPr>
      <t xml:space="preserve"> </t>
    </r>
    <r>
      <rPr>
        <sz val="9"/>
        <rFont val="Arial"/>
        <family val="2"/>
      </rPr>
      <t>(article 100)</t>
    </r>
  </si>
  <si>
    <t>. Démission</t>
  </si>
  <si>
    <t>. Départ à la retraite</t>
  </si>
  <si>
    <t>. Licenciement</t>
  </si>
  <si>
    <t>. Décès</t>
  </si>
  <si>
    <t xml:space="preserve"> Total</t>
  </si>
  <si>
    <t>sexe/emploi1</t>
  </si>
  <si>
    <r>
      <t xml:space="preserve">                        1.6.2 (2) - Taux d'emploi </t>
    </r>
    <r>
      <rPr>
        <sz val="9"/>
        <rFont val="Arial"/>
        <family val="2"/>
      </rPr>
      <t>(calculé sur le champ des emplois permanents)</t>
    </r>
  </si>
  <si>
    <t>.</t>
  </si>
  <si>
    <t>35 à 39 ans</t>
  </si>
  <si>
    <t>40 à 44 ans</t>
  </si>
  <si>
    <t>45 à 49 ans</t>
  </si>
  <si>
    <t>50 à 54 ans</t>
  </si>
  <si>
    <t>55 à 59 ans</t>
  </si>
  <si>
    <t>08</t>
  </si>
  <si>
    <t>60 à 64 ans</t>
  </si>
  <si>
    <t>65 ans et plus</t>
  </si>
  <si>
    <t>FEMMES</t>
  </si>
  <si>
    <t>ENSEMBLE</t>
  </si>
  <si>
    <t>Année de naissance</t>
  </si>
  <si>
    <t>Nombre de fonctionnaires
(titulaires et stagiaires) *</t>
  </si>
  <si>
    <t>Nombre de journées d'absence</t>
  </si>
  <si>
    <t>* si un agent a été absent sur plusieurs périodes dans l'année, ne le compter qu'une seule fois</t>
  </si>
  <si>
    <t xml:space="preserve">Les congés pour couches pathologiques sont à inclure : </t>
  </si>
  <si>
    <t xml:space="preserve"> (1) - en congé maternité pour les fonctionnaires ;</t>
  </si>
  <si>
    <t>(1)  - en congé maternité pour les fonctionnaires ;</t>
  </si>
  <si>
    <t>Categ_hier</t>
  </si>
  <si>
    <t>TRB2</t>
  </si>
  <si>
    <t>TRB1</t>
  </si>
  <si>
    <t>TAT4</t>
  </si>
  <si>
    <t>TAJ4</t>
  </si>
  <si>
    <t>SAJ3</t>
  </si>
  <si>
    <t>TTN3</t>
  </si>
  <si>
    <t>TTN2</t>
  </si>
  <si>
    <t>TTN1</t>
  </si>
  <si>
    <t>STN1</t>
  </si>
  <si>
    <t>TTP3</t>
  </si>
  <si>
    <t>TTP2</t>
  </si>
  <si>
    <t>TTP1</t>
  </si>
  <si>
    <t>STP1</t>
  </si>
  <si>
    <t>TP</t>
  </si>
  <si>
    <t>STH3</t>
  </si>
  <si>
    <t>TTA2</t>
  </si>
  <si>
    <t>STA2</t>
  </si>
  <si>
    <t>TA</t>
  </si>
  <si>
    <t>TCA2</t>
  </si>
  <si>
    <t>TCB2</t>
  </si>
  <si>
    <t>SCS2</t>
  </si>
  <si>
    <t>SSP3</t>
  </si>
  <si>
    <t>SMD2</t>
  </si>
  <si>
    <t>SMP3</t>
  </si>
  <si>
    <t>TOF3</t>
  </si>
  <si>
    <t>TOG3</t>
  </si>
  <si>
    <t>TOG2</t>
  </si>
  <si>
    <t>TOG1</t>
  </si>
  <si>
    <t>SOG1</t>
  </si>
  <si>
    <t>OG</t>
  </si>
  <si>
    <t>SOJ2</t>
  </si>
  <si>
    <t>SOK2</t>
  </si>
  <si>
    <t>TPG1</t>
  </si>
  <si>
    <t>SPH2</t>
  </si>
  <si>
    <t>TRH3</t>
  </si>
  <si>
    <t>TRH2</t>
  </si>
  <si>
    <t>TRH1</t>
  </si>
  <si>
    <t>SRH1</t>
  </si>
  <si>
    <t>RH</t>
  </si>
  <si>
    <t>SRC1</t>
  </si>
  <si>
    <t>SRD2</t>
  </si>
  <si>
    <t>TRF3</t>
  </si>
  <si>
    <t>TRF2</t>
  </si>
  <si>
    <t>TRF1</t>
  </si>
  <si>
    <t>SRF1</t>
  </si>
  <si>
    <t>RF</t>
  </si>
  <si>
    <t>TRG3</t>
  </si>
  <si>
    <t>TRG2</t>
  </si>
  <si>
    <t>TRG1</t>
  </si>
  <si>
    <t>SRG1</t>
  </si>
  <si>
    <t>RG</t>
  </si>
  <si>
    <t>SRU3</t>
  </si>
  <si>
    <t>TRU2</t>
  </si>
  <si>
    <t>SRU2</t>
  </si>
  <si>
    <t>SNJ3</t>
  </si>
  <si>
    <t xml:space="preserve">Temps partiel sur autorisation               </t>
  </si>
  <si>
    <t>Que recense l'indicateur 1.6.2 (2)?</t>
  </si>
  <si>
    <r>
      <rPr>
        <b/>
        <i/>
        <sz val="9"/>
        <color indexed="10"/>
        <rFont val="Arial"/>
        <family val="2"/>
      </rPr>
      <t>Remarque :</t>
    </r>
    <r>
      <rPr>
        <i/>
        <sz val="9"/>
        <rFont val="Arial"/>
        <family val="2"/>
      </rPr>
      <t xml:space="preserve"> </t>
    </r>
    <r>
      <rPr>
        <b/>
        <i/>
        <sz val="9"/>
        <rFont val="Arial"/>
        <family val="2"/>
      </rPr>
      <t>Ne pas remplir</t>
    </r>
    <r>
      <rPr>
        <i/>
        <sz val="9"/>
        <rFont val="Arial"/>
        <family val="2"/>
      </rPr>
      <t xml:space="preserve"> les </t>
    </r>
    <r>
      <rPr>
        <b/>
        <i/>
        <sz val="9"/>
        <rFont val="Arial"/>
        <family val="2"/>
      </rPr>
      <t xml:space="preserve">cellules grisées </t>
    </r>
    <r>
      <rPr>
        <i/>
        <sz val="9"/>
        <rFont val="Arial"/>
        <family val="2"/>
      </rPr>
      <t xml:space="preserve">(pré remplies par un zéro) qui font l’objet de </t>
    </r>
    <r>
      <rPr>
        <b/>
        <i/>
        <sz val="9"/>
        <rFont val="Arial"/>
        <family val="2"/>
      </rPr>
      <t>calculs automatiques</t>
    </r>
    <r>
      <rPr>
        <i/>
        <sz val="9"/>
        <rFont val="Arial"/>
        <family val="2"/>
      </rPr>
      <t xml:space="preserve">. </t>
    </r>
  </si>
  <si>
    <t>IND 4.2.5</t>
  </si>
  <si>
    <r>
      <t xml:space="preserve">* </t>
    </r>
    <r>
      <rPr>
        <sz val="10"/>
        <rFont val="Arial"/>
        <family val="2"/>
      </rPr>
      <t>sur un</t>
    </r>
    <r>
      <rPr>
        <b/>
        <sz val="10"/>
        <rFont val="Arial"/>
        <family val="2"/>
        <charset val="1"/>
      </rPr>
      <t xml:space="preserve"> emploi permanent </t>
    </r>
    <r>
      <rPr>
        <sz val="10"/>
        <rFont val="Arial"/>
        <family val="2"/>
      </rPr>
      <t>(cf. fiche 1.2.1 pour la notion d’</t>
    </r>
    <r>
      <rPr>
        <u/>
        <sz val="10"/>
        <rFont val="Arial"/>
        <family val="2"/>
        <charset val="1"/>
      </rPr>
      <t>emploi permanent</t>
    </r>
    <r>
      <rPr>
        <sz val="10"/>
        <rFont val="Arial"/>
        <family val="2"/>
      </rPr>
      <t>)</t>
    </r>
  </si>
  <si>
    <t xml:space="preserve">L’indicateur 2.2.6 recense le nombre de jours de carence et les sommes retenues en montant brute au titre de l’application de la journée de carence. </t>
  </si>
  <si>
    <t>Précision</t>
  </si>
  <si>
    <t>En application de l'article 115 de la loi n° 2017-1837 du 30 décembre 2017 de finances pour 2018, les agents publics titulaires, stagiaires et contractuels en congé de maladie ordinaire ne bénéficient du maintien de leur rémunération par l'employeur qu'à compter du deuxième jour de ce congé. 
Le premier jour de congé de maladie, appelé jour de carence, fait l’objet d’une retenue dans les conditions précisées par la circulaire du 15 février 2018 relative au non-versement de la rémunération au titre du premier jour de congé de maladie des agents publics civils et militaires.</t>
  </si>
  <si>
    <t xml:space="preserve">En application de l'article 115 de la loi n° 2017-1837 du 30 décembre 2017 de
finances pour 2018, les agents publics titulaires, stagiaires et contractuels en congé de maladie
ordinaire ne bénéficient du maintien de leur rémunération par l'employeur qu'à compter du
deuxième jour de ce congé. </t>
  </si>
  <si>
    <t xml:space="preserve">Précisions </t>
  </si>
  <si>
    <r>
      <t xml:space="preserve">- Le jour de carence </t>
    </r>
    <r>
      <rPr>
        <b/>
        <i/>
        <u/>
        <sz val="10"/>
        <rFont val="Arial"/>
        <family val="2"/>
      </rPr>
      <t>ne s'applique pas</t>
    </r>
    <r>
      <rPr>
        <b/>
        <i/>
        <sz val="10"/>
        <rFont val="Arial"/>
        <family val="2"/>
      </rPr>
      <t xml:space="preserve"> </t>
    </r>
    <r>
      <rPr>
        <i/>
        <sz val="10"/>
        <rFont val="Arial"/>
        <family val="2"/>
      </rPr>
      <t>aux congés suivants</t>
    </r>
    <r>
      <rPr>
        <i/>
        <u/>
        <sz val="10"/>
        <rFont val="Arial"/>
        <family val="2"/>
      </rPr>
      <t xml:space="preserve"> </t>
    </r>
    <r>
      <rPr>
        <i/>
        <sz val="10"/>
        <rFont val="Arial"/>
        <family val="2"/>
      </rPr>
      <t xml:space="preserve">: </t>
    </r>
    <r>
      <rPr>
        <b/>
        <i/>
        <sz val="10"/>
        <rFont val="Arial"/>
        <family val="2"/>
      </rPr>
      <t>congé pour invalidité temporaire imputable au service</t>
    </r>
    <r>
      <rPr>
        <i/>
        <sz val="10"/>
        <rFont val="Arial"/>
        <family val="2"/>
      </rPr>
      <t xml:space="preserve">, </t>
    </r>
    <r>
      <rPr>
        <b/>
        <i/>
        <sz val="10"/>
        <rFont val="Arial"/>
        <family val="2"/>
      </rPr>
      <t xml:space="preserve">congé pour accident de service </t>
    </r>
    <r>
      <rPr>
        <i/>
        <sz val="10"/>
        <rFont val="Arial"/>
        <family val="2"/>
      </rPr>
      <t xml:space="preserve">ou </t>
    </r>
    <r>
      <rPr>
        <b/>
        <i/>
        <sz val="10"/>
        <rFont val="Arial"/>
        <family val="2"/>
      </rPr>
      <t>accident du travail</t>
    </r>
    <r>
      <rPr>
        <i/>
        <sz val="10"/>
        <rFont val="Arial"/>
        <family val="2"/>
      </rPr>
      <t xml:space="preserve"> et</t>
    </r>
    <r>
      <rPr>
        <b/>
        <i/>
        <sz val="10"/>
        <rFont val="Arial"/>
        <family val="2"/>
      </rPr>
      <t xml:space="preserve"> maladie professionnelle</t>
    </r>
    <r>
      <rPr>
        <i/>
        <sz val="10"/>
        <rFont val="Arial"/>
        <family val="2"/>
      </rPr>
      <t xml:space="preserve">, </t>
    </r>
    <r>
      <rPr>
        <b/>
        <i/>
        <sz val="10"/>
        <rFont val="Arial"/>
        <family val="2"/>
      </rPr>
      <t>congé de longue maladie</t>
    </r>
    <r>
      <rPr>
        <i/>
        <sz val="10"/>
        <rFont val="Arial"/>
        <family val="2"/>
      </rPr>
      <t xml:space="preserve">, </t>
    </r>
    <r>
      <rPr>
        <b/>
        <i/>
        <sz val="10"/>
        <rFont val="Arial"/>
        <family val="2"/>
      </rPr>
      <t>congé de longue durée</t>
    </r>
    <r>
      <rPr>
        <i/>
        <sz val="10"/>
        <rFont val="Arial"/>
        <family val="2"/>
      </rPr>
      <t xml:space="preserve">, </t>
    </r>
    <r>
      <rPr>
        <b/>
        <i/>
        <sz val="10"/>
        <rFont val="Arial"/>
        <family val="2"/>
      </rPr>
      <t>congé de grave</t>
    </r>
    <r>
      <rPr>
        <i/>
        <sz val="10"/>
        <rFont val="Arial"/>
        <family val="2"/>
      </rPr>
      <t xml:space="preserve"> </t>
    </r>
    <r>
      <rPr>
        <b/>
        <i/>
        <sz val="10"/>
        <rFont val="Arial"/>
        <family val="2"/>
      </rPr>
      <t>maladie</t>
    </r>
    <r>
      <rPr>
        <i/>
        <sz val="10"/>
        <rFont val="Arial"/>
        <family val="2"/>
      </rPr>
      <t xml:space="preserve">, </t>
    </r>
    <r>
      <rPr>
        <b/>
        <i/>
        <sz val="10"/>
        <rFont val="Arial"/>
        <family val="2"/>
      </rPr>
      <t>congé du blessé</t>
    </r>
    <r>
      <rPr>
        <i/>
        <sz val="10"/>
        <rFont val="Arial"/>
        <family val="2"/>
      </rPr>
      <t xml:space="preserve"> (pour les militaires),</t>
    </r>
    <r>
      <rPr>
        <b/>
        <i/>
        <sz val="10"/>
        <rFont val="Arial"/>
        <family val="2"/>
      </rPr>
      <t xml:space="preserve"> congé de maladie accordé dans les trois ans après</t>
    </r>
    <r>
      <rPr>
        <i/>
        <sz val="10"/>
        <rFont val="Arial"/>
        <family val="2"/>
      </rPr>
      <t xml:space="preserve"> un premier congé de maladie au titre d'une même </t>
    </r>
    <r>
      <rPr>
        <b/>
        <i/>
        <sz val="10"/>
        <rFont val="Arial"/>
        <family val="2"/>
      </rPr>
      <t>affection de longue durée</t>
    </r>
    <r>
      <rPr>
        <i/>
        <sz val="10"/>
        <rFont val="Arial"/>
        <family val="2"/>
      </rPr>
      <t xml:space="preserve"> (ALD) au sens de l’article L. 324-1 du code de la sécurité sociale, et lorsque la maladie provient de l’une des causes exceptionnelles prévues aux articles L. 27 et L. 35 du code des pensions civiles et militaires de retraite.  </t>
    </r>
  </si>
  <si>
    <t xml:space="preserve">le jour de carence ne s'applique pas aux congés suivants : congé pour invalidité temporaire imputable au service, congé pour accident de service ou accident du travail et maladie professionnelle, congé de longue maladie, congé de longue durée, congé de grave maladie, congé du blessé (pour les militaires), congé de maladie accordé dans les trois ans après un premier congé de maladie au titre d'une même affection de longue durée (ALD) au sens de l’article L. 324-1 du code de la sécurité sociale, et lorsque la maladie provient de l’une des causes exceptionnelles prévues aux articles L. 27 et L. 35 du code des pensions civiles et militaires de retraite. De plus, le jour de carence ne s'applique pas au deuxième arrêt de travail lorsque l'agent n'a pas repris le travail plus de 48 heures entre les deux congés de maladie et que les deux arrêts de travail ont la même cause. Enfin, la loi n° 2019-828 du 6 août 2019 de transformation de la fonction publique a introduit un nouveau cas de non application du jour de carence en cas de congé de maladie accordé après la déclaration de grossesse et avant le début du congé de maternité. </t>
  </si>
  <si>
    <r>
      <t xml:space="preserve">- De plus, le jour de carence </t>
    </r>
    <r>
      <rPr>
        <b/>
        <i/>
        <u/>
        <sz val="10"/>
        <rFont val="Arial"/>
        <family val="2"/>
      </rPr>
      <t>ne s'applique pas</t>
    </r>
    <r>
      <rPr>
        <i/>
        <sz val="10"/>
        <rFont val="Arial"/>
        <family val="2"/>
      </rPr>
      <t xml:space="preserve"> au </t>
    </r>
    <r>
      <rPr>
        <b/>
        <i/>
        <sz val="10"/>
        <rFont val="Arial"/>
        <family val="2"/>
      </rPr>
      <t>deuxième arrêt de travail</t>
    </r>
    <r>
      <rPr>
        <i/>
        <sz val="10"/>
        <rFont val="Arial"/>
        <family val="2"/>
      </rPr>
      <t xml:space="preserve"> lorsque l'agent n'a pas repris le travail plus de 48 heures entre les deux congés de maladie et que les deux arrêts de travail ont la même cause.</t>
    </r>
  </si>
  <si>
    <t>De plus, le jour de carence ne s'applique pas au deuxième arrêt de travail lorsque l'agent n'a pas repris le travail plus de 48 heures entre les deux congés de maladie et que les deux arrêts de travail ont la même cause</t>
  </si>
  <si>
    <r>
      <t xml:space="preserve">- Enfin, la loi n° 2019-828 du 6 août 2019 de transformation de la fonction publique a introduit un nouveau cas de </t>
    </r>
    <r>
      <rPr>
        <b/>
        <i/>
        <u/>
        <sz val="10"/>
        <rFont val="Arial"/>
        <family val="2"/>
      </rPr>
      <t>non application du jour de carence</t>
    </r>
    <r>
      <rPr>
        <i/>
        <sz val="10"/>
        <rFont val="Arial"/>
        <family val="2"/>
      </rPr>
      <t xml:space="preserve"> en cas de congé de </t>
    </r>
    <r>
      <rPr>
        <b/>
        <i/>
        <sz val="10"/>
        <rFont val="Arial"/>
        <family val="2"/>
      </rPr>
      <t>maladie accordé après la déclaration de grossesse</t>
    </r>
    <r>
      <rPr>
        <i/>
        <sz val="10"/>
        <rFont val="Arial"/>
        <family val="2"/>
      </rPr>
      <t xml:space="preserve"> et </t>
    </r>
    <r>
      <rPr>
        <b/>
        <i/>
        <sz val="10"/>
        <rFont val="Arial"/>
        <family val="2"/>
      </rPr>
      <t>avant le début du congé de maternité</t>
    </r>
    <r>
      <rPr>
        <i/>
        <sz val="10"/>
        <rFont val="Arial"/>
        <family val="2"/>
      </rPr>
      <t>.</t>
    </r>
  </si>
  <si>
    <r>
      <t>Remarque :</t>
    </r>
    <r>
      <rPr>
        <i/>
        <sz val="9"/>
        <rFont val="Arial"/>
        <family val="2"/>
      </rPr>
      <t xml:space="preserve"> </t>
    </r>
    <r>
      <rPr>
        <b/>
        <i/>
        <sz val="9"/>
        <rFont val="Arial"/>
        <family val="2"/>
      </rPr>
      <t>Ne pas remplir</t>
    </r>
    <r>
      <rPr>
        <i/>
        <sz val="9"/>
        <rFont val="Arial"/>
        <family val="2"/>
      </rPr>
      <t xml:space="preserve"> les </t>
    </r>
    <r>
      <rPr>
        <b/>
        <i/>
        <sz val="9"/>
        <rFont val="Arial"/>
        <family val="2"/>
      </rPr>
      <t>cellules grisées</t>
    </r>
    <r>
      <rPr>
        <i/>
        <sz val="9"/>
        <rFont val="Arial"/>
        <family val="2"/>
      </rPr>
      <t xml:space="preserve"> (pré remplies par un zéro) qui font l’objet de </t>
    </r>
    <r>
      <rPr>
        <b/>
        <i/>
        <sz val="9"/>
        <rFont val="Arial"/>
        <family val="2"/>
      </rPr>
      <t>calculs automatiques.</t>
    </r>
  </si>
  <si>
    <t>. Agent contractuel nommé stagiaire au sein de la collectivité au cours de l'année</t>
  </si>
  <si>
    <t>1J</t>
  </si>
  <si>
    <t>1K</t>
  </si>
  <si>
    <t>** Comptabiliser les puéricultrices du cadre d'emplois du décret n° 92-859 du 28 août 1992 modifié et du cadre d'emplois du décret n° 2014-923 du 18 août 2014.</t>
  </si>
  <si>
    <t>* Comptabiliser les puéricultrices du cadre d'emplois du décret n° 92-859 du 28 août 1992 modifié et du cadre d'emplois du décret n° 2014-923 du 18 août 2014.</t>
  </si>
  <si>
    <t>TMM3</t>
  </si>
  <si>
    <t>Médecin et pharmacien de classe normale stagiaire</t>
  </si>
  <si>
    <t xml:space="preserve">  - IND 1.3.2 - Recours à du personnel temporaire (mis à disposition par CDG décliné par filière et intérim), selon le sexe</t>
  </si>
  <si>
    <r>
      <t>Remarque importante :</t>
    </r>
    <r>
      <rPr>
        <i/>
        <sz val="10"/>
        <color indexed="30"/>
        <rFont val="Arial"/>
        <family val="2"/>
        <charset val="1"/>
      </rPr>
      <t/>
    </r>
  </si>
  <si>
    <r>
      <rPr>
        <b/>
        <sz val="10"/>
        <color indexed="10"/>
        <rFont val="Arial"/>
        <family val="2"/>
      </rPr>
      <t xml:space="preserve">Attention : </t>
    </r>
    <r>
      <rPr>
        <i/>
        <sz val="10"/>
        <rFont val="Arial"/>
        <family val="2"/>
        <charset val="1"/>
      </rPr>
      <t xml:space="preserve">ne pas confondre </t>
    </r>
    <r>
      <rPr>
        <i/>
        <u/>
        <sz val="10"/>
        <rFont val="Arial"/>
        <family val="2"/>
        <charset val="1"/>
      </rPr>
      <t>"temps non complet"</t>
    </r>
    <r>
      <rPr>
        <i/>
        <sz val="10"/>
        <rFont val="Arial"/>
        <family val="2"/>
        <charset val="1"/>
      </rPr>
      <t xml:space="preserve"> qui est une </t>
    </r>
    <r>
      <rPr>
        <b/>
        <i/>
        <sz val="10"/>
        <rFont val="Arial"/>
        <family val="2"/>
        <charset val="1"/>
      </rPr>
      <t>caractéristique de l'emploi</t>
    </r>
    <r>
      <rPr>
        <i/>
        <sz val="10"/>
        <rFont val="Arial"/>
        <family val="2"/>
        <charset val="1"/>
      </rPr>
      <t xml:space="preserve"> (exprimée en 35èmes) et </t>
    </r>
    <r>
      <rPr>
        <i/>
        <u/>
        <sz val="10"/>
        <rFont val="Arial"/>
        <family val="2"/>
        <charset val="1"/>
      </rPr>
      <t>"temps partiel"</t>
    </r>
    <r>
      <rPr>
        <i/>
        <sz val="10"/>
        <rFont val="Arial"/>
        <family val="2"/>
        <charset val="1"/>
      </rPr>
      <t xml:space="preserve"> qui est une</t>
    </r>
    <r>
      <rPr>
        <b/>
        <i/>
        <sz val="10"/>
        <rFont val="Arial"/>
        <family val="2"/>
        <charset val="1"/>
      </rPr>
      <t xml:space="preserve"> modalité d'exercice</t>
    </r>
    <r>
      <rPr>
        <i/>
        <sz val="10"/>
        <rFont val="Arial"/>
        <family val="2"/>
        <charset val="1"/>
      </rPr>
      <t xml:space="preserve"> (exprimée en pourcentage de temps plein) pour un agent occupant un emploi à temps complet.</t>
    </r>
  </si>
  <si>
    <r>
      <rPr>
        <b/>
        <i/>
        <sz val="10"/>
        <color indexed="10"/>
        <rFont val="Arial"/>
        <family val="2"/>
      </rPr>
      <t xml:space="preserve">Remarque </t>
    </r>
    <r>
      <rPr>
        <i/>
        <sz val="10"/>
        <color indexed="10"/>
        <rFont val="Arial"/>
        <family val="2"/>
      </rPr>
      <t xml:space="preserve">: </t>
    </r>
    <r>
      <rPr>
        <i/>
        <sz val="10"/>
        <rFont val="Arial"/>
        <family val="2"/>
        <charset val="1"/>
      </rPr>
      <t xml:space="preserve">Pour plus de précisions, se référer à la </t>
    </r>
    <r>
      <rPr>
        <i/>
        <u/>
        <sz val="10"/>
        <rFont val="Arial"/>
        <family val="2"/>
        <charset val="1"/>
      </rPr>
      <t>fiche de l’indicateur 1.1.1.</t>
    </r>
  </si>
  <si>
    <r>
      <rPr>
        <b/>
        <i/>
        <sz val="10"/>
        <color indexed="10"/>
        <rFont val="Arial"/>
        <family val="2"/>
      </rPr>
      <t xml:space="preserve">Remarque </t>
    </r>
    <r>
      <rPr>
        <i/>
        <sz val="10"/>
        <color indexed="10"/>
        <rFont val="Arial"/>
        <family val="2"/>
      </rPr>
      <t xml:space="preserve">: </t>
    </r>
    <r>
      <rPr>
        <i/>
        <sz val="10"/>
        <rFont val="Arial"/>
        <family val="2"/>
        <charset val="1"/>
      </rPr>
      <t>il s’agit de fonctionnaires déjà recensés à l’indicateur 1.1.2. dans les colonnes 1.1.2(3) à 1.1.2(8).</t>
    </r>
  </si>
  <si>
    <r>
      <rPr>
        <b/>
        <i/>
        <sz val="10"/>
        <color indexed="10"/>
        <rFont val="Arial"/>
        <family val="2"/>
      </rPr>
      <t>Attention :</t>
    </r>
    <r>
      <rPr>
        <i/>
        <sz val="10"/>
        <color indexed="10"/>
        <rFont val="Arial"/>
        <family val="2"/>
      </rPr>
      <t xml:space="preserve"> </t>
    </r>
    <r>
      <rPr>
        <i/>
        <sz val="10"/>
        <rFont val="Arial"/>
        <family val="2"/>
        <charset val="1"/>
      </rPr>
      <t>Ne pas recenser les agents exerçant à temps non complet</t>
    </r>
  </si>
  <si>
    <r>
      <rPr>
        <b/>
        <sz val="10"/>
        <color indexed="10"/>
        <rFont val="Arial"/>
        <family val="2"/>
      </rPr>
      <t xml:space="preserve"> Remarque :</t>
    </r>
    <r>
      <rPr>
        <sz val="10"/>
        <color indexed="10"/>
        <rFont val="Arial"/>
        <family val="2"/>
      </rPr>
      <t xml:space="preserve"> l</t>
    </r>
    <r>
      <rPr>
        <sz val="10"/>
        <rFont val="Arial"/>
        <family val="2"/>
      </rPr>
      <t>es montants à inscrire dans les colonnes</t>
    </r>
    <r>
      <rPr>
        <b/>
        <sz val="10"/>
        <rFont val="Arial"/>
        <family val="2"/>
      </rPr>
      <t xml:space="preserve"> 3.1.1.2, 3.1.1.3, 3.1.1.4, 3.1.1.5 et 3.1.1.6 </t>
    </r>
    <r>
      <rPr>
        <sz val="10"/>
        <rFont val="Arial"/>
        <family val="2"/>
      </rPr>
      <t>sont</t>
    </r>
    <r>
      <rPr>
        <b/>
        <sz val="10"/>
        <rFont val="Arial"/>
        <family val="2"/>
      </rPr>
      <t xml:space="preserve"> inclus dans</t>
    </r>
    <r>
      <rPr>
        <sz val="10"/>
        <rFont val="Arial"/>
        <family val="2"/>
      </rPr>
      <t xml:space="preserve"> le total des rémunérations de la colonne</t>
    </r>
    <r>
      <rPr>
        <b/>
        <sz val="10"/>
        <rFont val="Arial"/>
        <family val="2"/>
      </rPr>
      <t xml:space="preserve"> 3.1.1.1.</t>
    </r>
  </si>
  <si>
    <r>
      <rPr>
        <b/>
        <sz val="10"/>
        <color indexed="10"/>
        <rFont val="Arial"/>
        <family val="2"/>
      </rPr>
      <t>Remarque :</t>
    </r>
    <r>
      <rPr>
        <sz val="10"/>
        <color indexed="10"/>
        <rFont val="Arial"/>
        <family val="2"/>
      </rPr>
      <t xml:space="preserve"> l</t>
    </r>
    <r>
      <rPr>
        <sz val="10"/>
        <rFont val="Arial"/>
        <family val="2"/>
      </rPr>
      <t>es montants à inscrire dans les colonnes</t>
    </r>
    <r>
      <rPr>
        <b/>
        <sz val="10"/>
        <rFont val="Arial"/>
        <family val="2"/>
      </rPr>
      <t xml:space="preserve"> 3.2.1.2 et 3.2.1.3 </t>
    </r>
    <r>
      <rPr>
        <sz val="10"/>
        <rFont val="Arial"/>
        <family val="2"/>
      </rPr>
      <t>sont</t>
    </r>
    <r>
      <rPr>
        <b/>
        <sz val="10"/>
        <rFont val="Arial"/>
        <family val="2"/>
      </rPr>
      <t xml:space="preserve"> inclus</t>
    </r>
    <r>
      <rPr>
        <sz val="10"/>
        <rFont val="Arial"/>
        <family val="2"/>
      </rPr>
      <t xml:space="preserve"> dans le total des rémunérations de la colonne</t>
    </r>
    <r>
      <rPr>
        <b/>
        <sz val="10"/>
        <rFont val="Arial"/>
        <family val="2"/>
      </rPr>
      <t xml:space="preserve"> 3.2.1.1.</t>
    </r>
  </si>
  <si>
    <r>
      <t>* 5.1.1(5)</t>
    </r>
    <r>
      <rPr>
        <sz val="10"/>
        <rFont val="Arial"/>
        <family val="2"/>
      </rPr>
      <t xml:space="preserve"> : colonne totalisant automatiquement l'ensemble des journées de formation précédentes </t>
    </r>
    <r>
      <rPr>
        <b/>
        <sz val="10"/>
        <color indexed="10"/>
        <rFont val="Arial"/>
        <family val="2"/>
      </rPr>
      <t>(ne pas remplir cette colonne)</t>
    </r>
  </si>
  <si>
    <r>
      <t xml:space="preserve">Cet indicateur vise plus précisément à recenser, d'une part, le nombre de </t>
    </r>
    <r>
      <rPr>
        <u/>
        <sz val="10"/>
        <rFont val="Arial"/>
        <family val="2"/>
      </rPr>
      <t>sanctions prononcées</t>
    </r>
    <r>
      <rPr>
        <sz val="10"/>
        <rFont val="Arial"/>
        <family val="2"/>
      </rPr>
      <t xml:space="preserve"> et, d'autre part, le </t>
    </r>
    <r>
      <rPr>
        <u/>
        <sz val="10"/>
        <rFont val="Arial"/>
        <family val="2"/>
      </rPr>
      <t>motif principal</t>
    </r>
    <r>
      <rPr>
        <sz val="10"/>
        <rFont val="Arial"/>
        <family val="2"/>
      </rPr>
      <t xml:space="preserve"> ayant justifié chacune de ces sanctions.</t>
    </r>
  </si>
  <si>
    <t>ADJOINTS ADMINISTRATIFS</t>
  </si>
  <si>
    <t>AJ</t>
  </si>
  <si>
    <t>A</t>
  </si>
  <si>
    <r>
      <t>-</t>
    </r>
    <r>
      <rPr>
        <u/>
        <sz val="10"/>
        <rFont val="Arial"/>
        <family val="2"/>
      </rPr>
      <t xml:space="preserve"> colonne 1.2.1 (8)</t>
    </r>
    <r>
      <rPr>
        <b/>
        <sz val="10"/>
        <rFont val="Arial"/>
        <family val="2"/>
        <charset val="1"/>
      </rPr>
      <t xml:space="preserve"> </t>
    </r>
    <r>
      <rPr>
        <sz val="10"/>
        <rFont val="Arial"/>
        <family val="2"/>
      </rPr>
      <t xml:space="preserve">: </t>
    </r>
    <r>
      <rPr>
        <b/>
        <sz val="10"/>
        <rFont val="Arial"/>
        <family val="2"/>
        <charset val="1"/>
      </rPr>
      <t xml:space="preserve"> autres contractuels </t>
    </r>
    <r>
      <rPr>
        <sz val="10"/>
        <rFont val="Arial"/>
        <family val="2"/>
      </rPr>
      <t xml:space="preserve">: bénéficiaires de la réglementation relative aux </t>
    </r>
    <r>
      <rPr>
        <b/>
        <sz val="10"/>
        <rFont val="Arial"/>
        <family val="2"/>
        <charset val="1"/>
      </rPr>
      <t>personnes en situation de handicap</t>
    </r>
    <r>
      <rPr>
        <sz val="10"/>
        <rFont val="Arial"/>
        <family val="2"/>
      </rPr>
      <t xml:space="preserve"> (article 38),</t>
    </r>
    <r>
      <rPr>
        <b/>
        <sz val="10"/>
        <rFont val="Arial"/>
        <family val="2"/>
        <charset val="1"/>
      </rPr>
      <t xml:space="preserve"> Pacte</t>
    </r>
    <r>
      <rPr>
        <sz val="10"/>
        <rFont val="Arial"/>
        <family val="2"/>
      </rPr>
      <t xml:space="preserve"> (article 38 bis), </t>
    </r>
    <r>
      <rPr>
        <b/>
        <sz val="10"/>
        <rFont val="Arial"/>
        <family val="2"/>
        <charset val="1"/>
      </rPr>
      <t>emplois fonctionnels de direction dans les très grandes collectivités</t>
    </r>
    <r>
      <rPr>
        <sz val="10"/>
        <rFont val="Arial"/>
        <family val="2"/>
      </rPr>
      <t xml:space="preserve"> (article 47), agents contractuels </t>
    </r>
    <r>
      <rPr>
        <b/>
        <sz val="10"/>
        <rFont val="Arial"/>
        <family val="2"/>
        <charset val="1"/>
      </rPr>
      <t>maintenus en fonctions lors de la publication de la loi</t>
    </r>
    <r>
      <rPr>
        <sz val="10"/>
        <rFont val="Arial"/>
        <family val="2"/>
      </rPr>
      <t xml:space="preserve">, agents contractuels </t>
    </r>
    <r>
      <rPr>
        <b/>
        <sz val="10"/>
        <rFont val="Arial"/>
        <family val="2"/>
        <charset val="1"/>
      </rPr>
      <t>transférés</t>
    </r>
    <r>
      <rPr>
        <sz val="10"/>
        <rFont val="Arial"/>
        <family val="2"/>
      </rPr>
      <t xml:space="preserve"> (article 136), </t>
    </r>
    <r>
      <rPr>
        <b/>
        <sz val="10"/>
        <rFont val="Arial"/>
        <family val="2"/>
        <charset val="1"/>
      </rPr>
      <t>autres agents contractuels exerçant sur emplois permanents</t>
    </r>
    <r>
      <rPr>
        <sz val="10"/>
        <rFont val="Arial"/>
        <family val="2"/>
      </rPr>
      <t xml:space="preserve"> (notamment agents de droit privé recrutés lors de la reprise d’activités précédemment confiées à une association).</t>
    </r>
  </si>
  <si>
    <r>
      <t xml:space="preserve">- </t>
    </r>
    <r>
      <rPr>
        <u/>
        <sz val="10"/>
        <rFont val="Arial"/>
        <family val="2"/>
      </rPr>
      <t>colonne 1.2.1 (9)</t>
    </r>
    <r>
      <rPr>
        <b/>
        <sz val="10"/>
        <rFont val="Arial"/>
        <family val="2"/>
        <charset val="1"/>
      </rPr>
      <t xml:space="preserve"> </t>
    </r>
    <r>
      <rPr>
        <sz val="10"/>
        <rFont val="Arial"/>
        <family val="2"/>
      </rPr>
      <t xml:space="preserve">: les agents en </t>
    </r>
    <r>
      <rPr>
        <b/>
        <sz val="10"/>
        <rFont val="Arial"/>
        <family val="2"/>
        <charset val="1"/>
      </rPr>
      <t>CDI</t>
    </r>
  </si>
  <si>
    <r>
      <rPr>
        <sz val="10"/>
        <rFont val="Arial"/>
        <family val="2"/>
      </rPr>
      <t>* selon les</t>
    </r>
    <r>
      <rPr>
        <b/>
        <sz val="10"/>
        <rFont val="Arial"/>
        <family val="2"/>
        <charset val="1"/>
      </rPr>
      <t xml:space="preserve"> caractéristiques de leur emploi</t>
    </r>
    <r>
      <rPr>
        <sz val="10"/>
        <rFont val="Arial"/>
        <family val="2"/>
      </rPr>
      <t xml:space="preserve"> (temps complet ou non complet ; en colonnes) </t>
    </r>
  </si>
  <si>
    <r>
      <t>-</t>
    </r>
    <r>
      <rPr>
        <sz val="10"/>
        <rFont val="Arial"/>
        <family val="2"/>
      </rPr>
      <t xml:space="preserve"> </t>
    </r>
    <r>
      <rPr>
        <u/>
        <sz val="10"/>
        <rFont val="Arial"/>
        <family val="2"/>
      </rPr>
      <t>colonne 1.2.1(10)</t>
    </r>
    <r>
      <rPr>
        <sz val="10"/>
        <rFont val="Arial"/>
        <family val="2"/>
      </rPr>
      <t xml:space="preserve"> : effectif des contractuels occupant un emploi à </t>
    </r>
    <r>
      <rPr>
        <b/>
        <sz val="10"/>
        <rFont val="Arial"/>
        <family val="2"/>
        <charset val="1"/>
      </rPr>
      <t>temps complet</t>
    </r>
    <r>
      <rPr>
        <sz val="10"/>
        <rFont val="Arial"/>
        <family val="2"/>
      </rPr>
      <t xml:space="preserve">, qu’ils exercent à temps plein ou à temps partiel (ces derniers font l’objet d’un </t>
    </r>
    <r>
      <rPr>
        <u/>
        <sz val="10"/>
        <rFont val="Arial"/>
        <family val="2"/>
        <charset val="1"/>
      </rPr>
      <t>recensement détaillé à l’indicateur 1.2.2.</t>
    </r>
    <r>
      <rPr>
        <sz val="10"/>
        <rFont val="Arial"/>
        <family val="2"/>
      </rPr>
      <t>) ;</t>
    </r>
  </si>
  <si>
    <r>
      <t xml:space="preserve">- </t>
    </r>
    <r>
      <rPr>
        <u/>
        <sz val="10"/>
        <rFont val="Arial"/>
        <family val="2"/>
      </rPr>
      <t>colonne 1.2.1(11)</t>
    </r>
    <r>
      <rPr>
        <sz val="10"/>
        <rFont val="Arial"/>
        <family val="2"/>
      </rPr>
      <t xml:space="preserve"> : effectif des</t>
    </r>
    <r>
      <rPr>
        <b/>
        <sz val="10"/>
        <rFont val="Arial"/>
        <family val="2"/>
        <charset val="1"/>
      </rPr>
      <t xml:space="preserve"> </t>
    </r>
    <r>
      <rPr>
        <sz val="10"/>
        <rFont val="Arial"/>
        <family val="2"/>
      </rPr>
      <t>contractuels occupant un emploi à </t>
    </r>
    <r>
      <rPr>
        <b/>
        <sz val="10"/>
        <rFont val="Arial"/>
        <family val="2"/>
        <charset val="1"/>
      </rPr>
      <t>temps NON complet</t>
    </r>
    <r>
      <rPr>
        <sz val="10"/>
        <rFont val="Arial"/>
        <family val="2"/>
      </rPr>
      <t>.</t>
    </r>
  </si>
  <si>
    <r>
      <t>Attention :</t>
    </r>
    <r>
      <rPr>
        <b/>
        <sz val="10"/>
        <rFont val="Arial"/>
        <family val="2"/>
      </rPr>
      <t xml:space="preserve"> </t>
    </r>
    <r>
      <rPr>
        <i/>
        <sz val="10"/>
        <rFont val="Arial"/>
        <family val="2"/>
      </rPr>
      <t xml:space="preserve">ne pas confondre </t>
    </r>
    <r>
      <rPr>
        <i/>
        <u/>
        <sz val="10"/>
        <rFont val="Arial"/>
        <family val="2"/>
      </rPr>
      <t>"temps non complet"</t>
    </r>
    <r>
      <rPr>
        <i/>
        <sz val="10"/>
        <rFont val="Arial"/>
        <family val="2"/>
      </rPr>
      <t xml:space="preserve"> qui est une </t>
    </r>
    <r>
      <rPr>
        <b/>
        <i/>
        <sz val="10"/>
        <rFont val="Arial"/>
        <family val="2"/>
      </rPr>
      <t>caractéristique de l'emploi</t>
    </r>
    <r>
      <rPr>
        <i/>
        <sz val="10"/>
        <rFont val="Arial"/>
        <family val="2"/>
      </rPr>
      <t xml:space="preserve"> (exprimée en 35èmes) et </t>
    </r>
    <r>
      <rPr>
        <i/>
        <u/>
        <sz val="10"/>
        <rFont val="Arial"/>
        <family val="2"/>
      </rPr>
      <t>"temps partiel"</t>
    </r>
    <r>
      <rPr>
        <i/>
        <sz val="10"/>
        <rFont val="Arial"/>
        <family val="2"/>
      </rPr>
      <t xml:space="preserve"> qui est une</t>
    </r>
    <r>
      <rPr>
        <b/>
        <i/>
        <sz val="10"/>
        <rFont val="Arial"/>
        <family val="2"/>
      </rPr>
      <t xml:space="preserve"> modalité d'exercice</t>
    </r>
    <r>
      <rPr>
        <i/>
        <sz val="10"/>
        <rFont val="Arial"/>
        <family val="2"/>
      </rPr>
      <t xml:space="preserve"> (exprimée en pourcentage de temps plein) pour un agent occupant un emploi à temps complet.</t>
    </r>
  </si>
  <si>
    <r>
      <rPr>
        <sz val="10"/>
        <rFont val="Arial"/>
        <family val="2"/>
      </rPr>
      <t xml:space="preserve">* par </t>
    </r>
    <r>
      <rPr>
        <b/>
        <sz val="10"/>
        <rFont val="Arial"/>
        <family val="2"/>
        <charset val="1"/>
      </rPr>
      <t xml:space="preserve">tranches d’ancienneté </t>
    </r>
    <r>
      <rPr>
        <sz val="10"/>
        <rFont val="Arial"/>
        <family val="2"/>
      </rPr>
      <t>(en colonnes)</t>
    </r>
  </si>
  <si>
    <r>
      <t xml:space="preserve">* </t>
    </r>
    <r>
      <rPr>
        <sz val="10"/>
        <rFont val="Arial"/>
        <family val="2"/>
      </rPr>
      <t>par</t>
    </r>
    <r>
      <rPr>
        <b/>
        <sz val="10"/>
        <rFont val="Arial"/>
        <family val="2"/>
        <charset val="1"/>
      </rPr>
      <t xml:space="preserve"> type d'emploi </t>
    </r>
    <r>
      <rPr>
        <sz val="10"/>
        <rFont val="Arial"/>
        <family val="2"/>
      </rPr>
      <t>(CDI, CDD)</t>
    </r>
    <r>
      <rPr>
        <b/>
        <sz val="10"/>
        <rFont val="Arial"/>
        <family val="2"/>
        <charset val="1"/>
      </rPr>
      <t xml:space="preserve"> </t>
    </r>
    <r>
      <rPr>
        <sz val="10"/>
        <rFont val="Arial"/>
        <family val="2"/>
      </rPr>
      <t>croisé par le</t>
    </r>
    <r>
      <rPr>
        <b/>
        <sz val="10"/>
        <rFont val="Arial"/>
        <family val="2"/>
        <charset val="1"/>
      </rPr>
      <t xml:space="preserve"> sexe</t>
    </r>
  </si>
  <si>
    <r>
      <t xml:space="preserve">Ne pas remplir </t>
    </r>
    <r>
      <rPr>
        <sz val="10"/>
        <rFont val="Arial"/>
        <family val="2"/>
      </rPr>
      <t>les</t>
    </r>
    <r>
      <rPr>
        <b/>
        <sz val="10"/>
        <rFont val="Arial"/>
        <family val="2"/>
        <charset val="1"/>
      </rPr>
      <t xml:space="preserve"> cellules grisées </t>
    </r>
    <r>
      <rPr>
        <sz val="10"/>
        <rFont val="Arial"/>
        <family val="2"/>
      </rPr>
      <t>(pré remplies par un zéro) qui font l’objet de</t>
    </r>
    <r>
      <rPr>
        <b/>
        <sz val="10"/>
        <rFont val="Arial"/>
        <family val="2"/>
        <charset val="1"/>
      </rPr>
      <t xml:space="preserve"> calculs automatiques.</t>
    </r>
  </si>
  <si>
    <r>
      <rPr>
        <sz val="10"/>
        <rFont val="Arial"/>
        <family val="2"/>
      </rPr>
      <t>L’indicateur 1.2.3. détaille les effectifs, en nombre de personnes physiques</t>
    </r>
    <r>
      <rPr>
        <b/>
        <sz val="10"/>
        <rFont val="Arial"/>
        <family val="2"/>
        <charset val="1"/>
      </rPr>
      <t xml:space="preserve"> (1 personne = 1 unité), </t>
    </r>
  </si>
  <si>
    <r>
      <t xml:space="preserve">Ne pas remplir </t>
    </r>
    <r>
      <rPr>
        <sz val="10"/>
        <rFont val="Arial"/>
        <family val="2"/>
      </rPr>
      <t>les</t>
    </r>
    <r>
      <rPr>
        <b/>
        <sz val="10"/>
        <rFont val="Arial"/>
        <family val="2"/>
        <charset val="1"/>
      </rPr>
      <t xml:space="preserve"> cellules grisées</t>
    </r>
    <r>
      <rPr>
        <sz val="10"/>
        <rFont val="Arial"/>
        <family val="2"/>
      </rPr>
      <t xml:space="preserve"> (pré remplies par un zéro)</t>
    </r>
    <r>
      <rPr>
        <b/>
        <sz val="10"/>
        <rFont val="Arial"/>
        <family val="2"/>
        <charset val="1"/>
      </rPr>
      <t xml:space="preserve"> </t>
    </r>
    <r>
      <rPr>
        <sz val="10"/>
        <rFont val="Arial"/>
        <family val="2"/>
      </rPr>
      <t>qui font l’objet de</t>
    </r>
    <r>
      <rPr>
        <b/>
        <sz val="10"/>
        <rFont val="Arial"/>
        <family val="2"/>
        <charset val="1"/>
      </rPr>
      <t xml:space="preserve"> calculs automatiques.</t>
    </r>
  </si>
  <si>
    <r>
      <t xml:space="preserve">* les agents </t>
    </r>
    <r>
      <rPr>
        <b/>
        <sz val="10"/>
        <rFont val="Arial"/>
        <family val="2"/>
        <charset val="1"/>
      </rPr>
      <t>contractuels</t>
    </r>
    <r>
      <rPr>
        <sz val="10"/>
        <rFont val="Arial"/>
        <family val="2"/>
      </rPr>
      <t xml:space="preserve"> </t>
    </r>
  </si>
  <si>
    <r>
      <t>* 5.1.1(3)</t>
    </r>
    <r>
      <rPr>
        <sz val="10"/>
        <rFont val="Arial"/>
        <family val="2"/>
      </rPr>
      <t xml:space="preserve"> : compter les journées correspondant aux </t>
    </r>
    <r>
      <rPr>
        <b/>
        <sz val="10"/>
        <rFont val="Arial"/>
        <family val="2"/>
        <charset val="1"/>
      </rPr>
      <t>formations organisées par la collectivité</t>
    </r>
    <r>
      <rPr>
        <sz val="10"/>
        <rFont val="Arial"/>
        <family val="2"/>
      </rPr>
      <t>, qu'il s'agisse :
- de formations assurées par des</t>
    </r>
    <r>
      <rPr>
        <b/>
        <sz val="10"/>
        <rFont val="Arial"/>
        <family val="2"/>
        <charset val="1"/>
      </rPr>
      <t xml:space="preserve"> formateurs internes</t>
    </r>
    <r>
      <rPr>
        <sz val="10"/>
        <rFont val="Arial"/>
        <family val="2"/>
      </rPr>
      <t xml:space="preserve"> (titulaires ou contractuels),
- de formations assurées par des</t>
    </r>
    <r>
      <rPr>
        <u/>
        <sz val="10"/>
        <rFont val="Arial"/>
        <family val="2"/>
        <charset val="1"/>
      </rPr>
      <t xml:space="preserve"> </t>
    </r>
    <r>
      <rPr>
        <b/>
        <sz val="10"/>
        <rFont val="Arial"/>
        <family val="2"/>
        <charset val="1"/>
      </rPr>
      <t xml:space="preserve">intervenants extérieurs </t>
    </r>
    <r>
      <rPr>
        <sz val="10"/>
        <rFont val="Arial"/>
        <family val="2"/>
      </rPr>
      <t>rémunérés sous forme de vacations ou de prestations,
- de formations assurées par le</t>
    </r>
    <r>
      <rPr>
        <b/>
        <sz val="10"/>
        <rFont val="Arial"/>
        <family val="2"/>
        <charset val="1"/>
      </rPr>
      <t xml:space="preserve"> CNFPT en intra</t>
    </r>
    <r>
      <rPr>
        <sz val="10"/>
        <rFont val="Arial"/>
        <family val="2"/>
      </rPr>
      <t>, c'est à dire organisées à la demande de la collectivité pour ses propres agents.</t>
    </r>
  </si>
  <si>
    <r>
      <rPr>
        <b/>
        <sz val="10"/>
        <rFont val="Arial"/>
        <family val="2"/>
        <charset val="1"/>
      </rPr>
      <t>* 5.1.1(4)</t>
    </r>
    <r>
      <rPr>
        <sz val="10"/>
        <rFont val="Arial"/>
        <family val="2"/>
      </rPr>
      <t xml:space="preserve"> : compter la totalité des </t>
    </r>
    <r>
      <rPr>
        <b/>
        <sz val="10"/>
        <rFont val="Arial"/>
        <family val="2"/>
        <charset val="1"/>
      </rPr>
      <t>journées de formation</t>
    </r>
    <r>
      <rPr>
        <sz val="10"/>
        <rFont val="Arial"/>
        <family val="2"/>
      </rPr>
      <t xml:space="preserve"> assurées par d</t>
    </r>
    <r>
      <rPr>
        <b/>
        <sz val="10"/>
        <rFont val="Arial"/>
        <family val="2"/>
        <charset val="1"/>
      </rPr>
      <t>’autres organismes de formation</t>
    </r>
    <r>
      <rPr>
        <sz val="10"/>
        <rFont val="Arial"/>
        <family val="2"/>
      </rPr>
      <t>, y compris les stages pratiques effectués hors de la collectivité.</t>
    </r>
  </si>
  <si>
    <r>
      <rPr>
        <b/>
        <sz val="10"/>
        <rFont val="Arial"/>
        <family val="2"/>
        <charset val="1"/>
      </rPr>
      <t>* 5.1.1(6)</t>
    </r>
    <r>
      <rPr>
        <sz val="10"/>
        <rFont val="Arial"/>
        <family val="2"/>
      </rPr>
      <t xml:space="preserve"> : compter la totalité des</t>
    </r>
    <r>
      <rPr>
        <b/>
        <sz val="10"/>
        <rFont val="Arial"/>
        <family val="2"/>
        <charset val="1"/>
      </rPr>
      <t xml:space="preserve"> journées de formation</t>
    </r>
    <r>
      <rPr>
        <sz val="10"/>
        <rFont val="Arial"/>
        <family val="2"/>
      </rPr>
      <t xml:space="preserve"> assurées parmi les précédentes dans le cadre du </t>
    </r>
    <r>
      <rPr>
        <b/>
        <sz val="10"/>
        <rFont val="Arial"/>
        <family val="2"/>
        <charset val="1"/>
      </rPr>
      <t>CPF</t>
    </r>
    <r>
      <rPr>
        <sz val="10"/>
        <rFont val="Arial"/>
        <family val="2"/>
      </rPr>
      <t xml:space="preserve"> (compte personnel de formation).</t>
    </r>
  </si>
  <si>
    <r>
      <rPr>
        <sz val="10"/>
        <rFont val="Arial"/>
        <family val="2"/>
      </rPr>
      <t xml:space="preserve">- le </t>
    </r>
    <r>
      <rPr>
        <b/>
        <sz val="10"/>
        <rFont val="Arial"/>
        <family val="2"/>
        <charset val="1"/>
      </rPr>
      <t>nombre de dossiers dont la collectivité a eu connaissance</t>
    </r>
    <r>
      <rPr>
        <sz val="10"/>
        <rFont val="Arial"/>
        <family val="2"/>
      </rPr>
      <t>, qu’il s’agisse de démarches accompagnées ou non.</t>
    </r>
  </si>
  <si>
    <r>
      <rPr>
        <sz val="10"/>
        <rFont val="Arial"/>
        <family val="2"/>
      </rPr>
      <t xml:space="preserve">- le </t>
    </r>
    <r>
      <rPr>
        <b/>
        <sz val="10"/>
        <rFont val="Arial"/>
        <family val="2"/>
        <charset val="1"/>
      </rPr>
      <t>nombre de dossiers en cours :</t>
    </r>
    <r>
      <rPr>
        <sz val="10"/>
        <rFont val="Arial"/>
        <family val="2"/>
      </rPr>
      <t xml:space="preserve"> quelle que soit l’année de dépôt, dossier dont le résultat n’est pas encore connu. </t>
    </r>
  </si>
  <si>
    <r>
      <rPr>
        <sz val="10"/>
        <rFont val="Arial"/>
        <family val="2"/>
      </rPr>
      <t xml:space="preserve">- le nombre de dossiers ayant débouché sur une </t>
    </r>
    <r>
      <rPr>
        <b/>
        <sz val="10"/>
        <rFont val="Arial"/>
        <family val="2"/>
        <charset val="1"/>
      </rPr>
      <t>validation</t>
    </r>
    <r>
      <rPr>
        <sz val="10"/>
        <rFont val="Arial"/>
        <family val="2"/>
      </rPr>
      <t>, qu'elle soit totale ou partielle.</t>
    </r>
  </si>
  <si>
    <r>
      <t xml:space="preserve">* indiquer </t>
    </r>
    <r>
      <rPr>
        <sz val="10"/>
        <rFont val="Arial"/>
        <family val="2"/>
      </rPr>
      <t xml:space="preserve">le nombre de </t>
    </r>
    <r>
      <rPr>
        <b/>
        <sz val="10"/>
        <rFont val="Arial"/>
        <family val="2"/>
        <charset val="1"/>
      </rPr>
      <t>bilans de compétence</t>
    </r>
    <r>
      <rPr>
        <sz val="10"/>
        <rFont val="Arial"/>
        <family val="2"/>
      </rPr>
      <t xml:space="preserve"> et </t>
    </r>
    <r>
      <rPr>
        <b/>
        <sz val="10"/>
        <rFont val="Arial"/>
        <family val="2"/>
        <charset val="1"/>
      </rPr>
      <t>bilans professionnels</t>
    </r>
    <r>
      <rPr>
        <sz val="10"/>
        <rFont val="Arial"/>
        <family val="2"/>
      </rPr>
      <t xml:space="preserve"> réalisés en externe par un intervenant ou organisme spécialisé.</t>
    </r>
  </si>
  <si>
    <r>
      <rPr>
        <b/>
        <i/>
        <sz val="10"/>
        <rFont val="Arial"/>
        <family val="2"/>
        <charset val="1"/>
      </rPr>
      <t>Les formations d’intégration et de professionnalisation</t>
    </r>
    <r>
      <rPr>
        <i/>
        <sz val="10"/>
        <rFont val="Arial"/>
        <family val="2"/>
        <charset val="1"/>
      </rPr>
      <t xml:space="preserve"> </t>
    </r>
    <r>
      <rPr>
        <sz val="10"/>
        <rFont val="Arial"/>
        <family val="2"/>
      </rPr>
      <t>mentionnées au 1° de l’article 1er de la loi du 12 juillet 1984 susvisée relèvent de la formation professionnelle tout au long de la vie définie au premier alinéa de l’article 1er du décret du 26 décembre 2007 susvisé et sont mises en oeuvre dans les conditions fixées par le présent décret et par les statuts particuliers des cadres d’emplois.
Le présent décret est applicable aux fonctionnaires de l’ensemble des cadres d’emplois de la fonction publique territoriale, à l’exception de ceux relevant des filières sapeurs-pompiers et police municipale qui sont soumis à des dispositions spécifiques en matière de formation professionnelle obligatoire.</t>
    </r>
  </si>
  <si>
    <t>3.4.3 - Maintien des primes en cas de congé de maladie ordinaire</t>
  </si>
  <si>
    <t xml:space="preserve">  - IND 3.4.3 - Maintien des primes en cas de congé de maladie ordinaire</t>
  </si>
  <si>
    <t>Avez-vous prévu le maintien des primes en cas de congé de maladie ordinaire ?</t>
  </si>
  <si>
    <t>* Article 4 du décret n° 85-603 du 10 juin 1985 : Ils constituent le niveau de proximité du réseau des agents de prévention.</t>
  </si>
  <si>
    <t xml:space="preserve">**Articles 4 et 4-1 du décret n° 85-603 du 10 juin 1985 : Ils assurent une mission de coordination et sont institués lorsque l'importance des risques professionnels ou des effectifs le justifie. </t>
  </si>
  <si>
    <t>*** Article 5 du décret n° 85-603 du 10 juin 1985 : Ils sont désignés par la collectivité. Ils sont chargés d'assurer une fonction d'inspection dans le domaine de la santé et de la sécurité.</t>
  </si>
  <si>
    <r>
      <t>Précision</t>
    </r>
    <r>
      <rPr>
        <sz val="10"/>
        <rFont val="Arial"/>
        <family val="2"/>
      </rPr>
      <t xml:space="preserve"> : le Document unique est mis à jour (Article R. 4121-1 du code du travail)
1° au moins chaque année ; 
2° lors de toute décision d'aménagement important modifiant les conditions de santé et de sécurité ou les conditions de travail, au sens de l'article L. 2312-8 du code du travail ; 
3° lorsqu'une information supplémentaire intéressant l'évaluation d'un risque dans une unité de travail est recueillie ;
Toutefois pour les collectivités de moins de 11 agents, cette disposition peut être moins fréquente sous réserve que soit garanti un niveau équivalent de protection de la santé et de la sécurité des agents.</t>
    </r>
  </si>
  <si>
    <t>* y compris pensions d'invalidité du régime général.</t>
  </si>
  <si>
    <t>Nombre de signalements au DRH pour agissements sexistes (cf. définition prévue par l’article L. 1142-2-1 du code du travail)</t>
  </si>
  <si>
    <t xml:space="preserve">** Si un arrêt est prolongé, ne le compter qu'une seule fois. Ne comptabiliser que les arrêts ayant donné lieu à une absence. </t>
  </si>
  <si>
    <r>
      <t>Remarque :</t>
    </r>
    <r>
      <rPr>
        <i/>
        <sz val="10"/>
        <rFont val="Arial"/>
        <family val="2"/>
      </rPr>
      <t xml:space="preserve"> les collectivités ayant des agents liés à des sujétions qui induisent une diminution du temps de travail devront l'indiquer.</t>
    </r>
  </si>
  <si>
    <r>
      <t>L'</t>
    </r>
    <r>
      <rPr>
        <b/>
        <sz val="10"/>
        <rFont val="Arial"/>
        <family val="2"/>
        <charset val="1"/>
      </rPr>
      <t>indicateur 2.2.3.</t>
    </r>
    <r>
      <rPr>
        <sz val="10"/>
        <rFont val="Arial"/>
        <family val="2"/>
      </rPr>
      <t xml:space="preserve"> recense les effectifs en nombre de personnes physiques (</t>
    </r>
    <r>
      <rPr>
        <b/>
        <sz val="10"/>
        <rFont val="Arial"/>
        <family val="2"/>
        <charset val="1"/>
      </rPr>
      <t>1 personne = 1 unité</t>
    </r>
    <r>
      <rPr>
        <sz val="10"/>
        <rFont val="Arial"/>
        <family val="2"/>
      </rPr>
      <t>).</t>
    </r>
  </si>
  <si>
    <r>
      <rPr>
        <sz val="10"/>
        <rFont val="Arial"/>
        <family val="2"/>
      </rPr>
      <t xml:space="preserve">Tous les tableaux de l'indicateur 2.2.3 sont renseignés par </t>
    </r>
    <r>
      <rPr>
        <b/>
        <sz val="10"/>
        <rFont val="Arial"/>
        <family val="2"/>
        <charset val="1"/>
      </rPr>
      <t>catégorie hiérarchique</t>
    </r>
    <r>
      <rPr>
        <sz val="10"/>
        <rFont val="Arial"/>
        <family val="2"/>
      </rPr>
      <t xml:space="preserve"> et par </t>
    </r>
    <r>
      <rPr>
        <b/>
        <sz val="10"/>
        <rFont val="Arial"/>
        <family val="2"/>
        <charset val="1"/>
      </rPr>
      <t>sexe</t>
    </r>
    <r>
      <rPr>
        <sz val="10"/>
        <rFont val="Arial"/>
        <family val="2"/>
      </rPr>
      <t>.</t>
    </r>
  </si>
  <si>
    <r>
      <t xml:space="preserve">- donnés au bénéfice </t>
    </r>
    <r>
      <rPr>
        <sz val="10"/>
        <rFont val="Arial"/>
        <family val="2"/>
      </rPr>
      <t>d'un agent public (article 1er du décret n° 2015-580 du 28 mai 2015)</t>
    </r>
  </si>
  <si>
    <r>
      <t>L'</t>
    </r>
    <r>
      <rPr>
        <b/>
        <sz val="10"/>
        <rFont val="Arial"/>
        <family val="2"/>
        <charset val="1"/>
      </rPr>
      <t>indicateur 2.2.4.</t>
    </r>
    <r>
      <rPr>
        <sz val="10"/>
        <rFont val="Arial"/>
        <family val="2"/>
      </rPr>
      <t xml:space="preserve"> recense les effectifs en nombre de personnes physiques (</t>
    </r>
    <r>
      <rPr>
        <b/>
        <sz val="10"/>
        <rFont val="Arial"/>
        <family val="2"/>
        <charset val="1"/>
      </rPr>
      <t>1 personne = 1 unité</t>
    </r>
    <r>
      <rPr>
        <sz val="10"/>
        <rFont val="Arial"/>
        <family val="2"/>
      </rPr>
      <t>).</t>
    </r>
  </si>
  <si>
    <t>5.1.3 Comment sont décomptés les VAE, bilans de compétence et congés de formation?</t>
  </si>
  <si>
    <r>
      <rPr>
        <b/>
        <sz val="10"/>
        <rFont val="Arial"/>
        <family val="2"/>
        <charset val="1"/>
      </rPr>
      <t xml:space="preserve">L’indicateur 4.1.4 recense l’existence d’un Document unique d'évaluation des risques professionnels, (DUERP)
</t>
    </r>
    <r>
      <rPr>
        <sz val="10"/>
        <rFont val="Arial"/>
        <family val="2"/>
      </rPr>
      <t xml:space="preserve">Le DUERP réalisé et mis à jour annuellement par l’autorité territoriale, répertorie l'ensemble des risques professionnels (dont les RPS) auxquels sont exposés les agents, afin d'organiser la prévention au sein du programme annuel de prévention (circulaire RDFB1314079C du 28 mai 2013 rappelant les obligations des employeurs territoriaux en matière d’évaluation des risques professionnels).
</t>
    </r>
  </si>
  <si>
    <r>
      <t xml:space="preserve">- tableau 1.5.0.1 : </t>
    </r>
    <r>
      <rPr>
        <b/>
        <sz val="10"/>
        <color indexed="8"/>
        <rFont val="Arial"/>
        <family val="2"/>
      </rPr>
      <t>fonctionnaires</t>
    </r>
    <r>
      <rPr>
        <sz val="10"/>
        <color indexed="8"/>
        <rFont val="Arial"/>
        <family val="2"/>
      </rPr>
      <t xml:space="preserve"> </t>
    </r>
  </si>
  <si>
    <r>
      <t xml:space="preserve">- tableau 1.5.0.2 : </t>
    </r>
    <r>
      <rPr>
        <b/>
        <sz val="10"/>
        <color indexed="8"/>
        <rFont val="Arial"/>
        <family val="2"/>
      </rPr>
      <t>contractuels</t>
    </r>
    <r>
      <rPr>
        <sz val="10"/>
        <color indexed="8"/>
        <rFont val="Arial"/>
        <family val="2"/>
      </rPr>
      <t xml:space="preserve"> occupant un emploi permanent </t>
    </r>
  </si>
  <si>
    <r>
      <t xml:space="preserve">* </t>
    </r>
    <r>
      <rPr>
        <b/>
        <sz val="10"/>
        <color indexed="8"/>
        <rFont val="Arial"/>
        <family val="2"/>
      </rPr>
      <t>selon le motif de leur départ,</t>
    </r>
    <r>
      <rPr>
        <sz val="10"/>
        <color indexed="8"/>
        <rFont val="Arial"/>
        <family val="2"/>
      </rPr>
      <t xml:space="preserve"> qu'il soit temporaire ou définitif</t>
    </r>
    <r>
      <rPr>
        <b/>
        <sz val="10"/>
        <color indexed="8"/>
        <rFont val="Arial"/>
        <family val="2"/>
      </rPr>
      <t xml:space="preserve"> </t>
    </r>
    <r>
      <rPr>
        <sz val="10"/>
        <color indexed="8"/>
        <rFont val="Arial"/>
        <family val="2"/>
      </rPr>
      <t>(en lignes)</t>
    </r>
    <r>
      <rPr>
        <sz val="10"/>
        <rFont val="Arial"/>
        <family val="2"/>
      </rPr>
      <t/>
    </r>
  </si>
  <si>
    <r>
      <t>motifs communs aux fonctionnaires et contractuels</t>
    </r>
    <r>
      <rPr>
        <sz val="10"/>
        <color indexed="8"/>
        <rFont val="Arial"/>
        <family val="2"/>
      </rPr>
      <t xml:space="preserve"> (tableaux 1.5.0.1 et 1.5.0.2) :</t>
    </r>
  </si>
  <si>
    <r>
      <t>-</t>
    </r>
    <r>
      <rPr>
        <b/>
        <sz val="10"/>
        <color indexed="8"/>
        <rFont val="Arial"/>
        <family val="2"/>
      </rPr>
      <t xml:space="preserve"> mise à disposition totale</t>
    </r>
    <r>
      <rPr>
        <sz val="10"/>
        <color indexed="8"/>
        <rFont val="Arial"/>
        <family val="2"/>
      </rPr>
      <t xml:space="preserve"> auprès d’une </t>
    </r>
    <r>
      <rPr>
        <b/>
        <sz val="10"/>
        <color indexed="8"/>
        <rFont val="Arial"/>
        <family val="2"/>
      </rPr>
      <t>autre collectivité ou structure</t>
    </r>
    <r>
      <rPr>
        <sz val="10"/>
        <color indexed="8"/>
        <rFont val="Arial"/>
        <family val="2"/>
      </rPr>
      <t xml:space="preserve"> (articles 25 et 61 de la loi du 26 janvier 1984) </t>
    </r>
  </si>
  <si>
    <t>Cadres de santé infirmiers, rééducateurs et assistants médico-techniques</t>
  </si>
  <si>
    <t>Infirmiers</t>
  </si>
  <si>
    <t>Auxiliaires de puériculture</t>
  </si>
  <si>
    <t>Auxiliaires de soins</t>
  </si>
  <si>
    <t>Biologistes, vétérinaires, pharmaciens</t>
  </si>
  <si>
    <t>Techniciens paramédicaux</t>
  </si>
  <si>
    <t>Merci de bien vouloir remplir ce questionnaire Excel.</t>
  </si>
  <si>
    <t>un fichier d'échange au format .txt en cliquant sur le bouton "Exporter" ci-dessous</t>
  </si>
  <si>
    <t>Le fichier fabriqué par la procédure d'exportation est nommé d'après le n° Siret de votre collectivité</t>
  </si>
  <si>
    <t>Code postal :</t>
  </si>
  <si>
    <t>N° SIRET de la collectivité :</t>
  </si>
  <si>
    <t>Type de collectivité :</t>
  </si>
  <si>
    <t>1.1.1(2)</t>
  </si>
  <si>
    <t>1.1.1(3)</t>
  </si>
  <si>
    <t>1.1.1(4)</t>
  </si>
  <si>
    <t>1.1.1(5)</t>
  </si>
  <si>
    <t>1.1.1(6)</t>
  </si>
  <si>
    <t>10</t>
  </si>
  <si>
    <t>1</t>
  </si>
  <si>
    <t>temps/sexe</t>
  </si>
  <si>
    <t>FILIERE ADMINISTRATIVE</t>
  </si>
  <si>
    <t>Administrateur général</t>
  </si>
  <si>
    <t>TAD3</t>
  </si>
  <si>
    <t>Administrateur hors classe</t>
  </si>
  <si>
    <t>TAD2</t>
  </si>
  <si>
    <t xml:space="preserve">Administrateur </t>
  </si>
  <si>
    <t>TAD1</t>
  </si>
  <si>
    <t>Administrateur stagiaire</t>
  </si>
  <si>
    <t>SAD1</t>
  </si>
  <si>
    <t>ADMINISTRATEURS</t>
  </si>
  <si>
    <t>AD</t>
  </si>
  <si>
    <t>Directeur territorial</t>
  </si>
  <si>
    <t>TAT3</t>
  </si>
  <si>
    <t xml:space="preserve">Attaché principal </t>
  </si>
  <si>
    <t>TAT2</t>
  </si>
  <si>
    <t>Attaché</t>
  </si>
  <si>
    <t>TAT1</t>
  </si>
  <si>
    <t>Attaché stagiaire</t>
  </si>
  <si>
    <t>SAT1</t>
  </si>
  <si>
    <t>ATTACHES</t>
  </si>
  <si>
    <t>AT</t>
  </si>
  <si>
    <t>Secrétaire de mairie</t>
  </si>
  <si>
    <t>TAS1</t>
  </si>
  <si>
    <t>SECRETAIRES DE MAIRIE</t>
  </si>
  <si>
    <t>AS</t>
  </si>
  <si>
    <t>Rédacteur principal de 1ère classe</t>
  </si>
  <si>
    <t>sexe/motif</t>
  </si>
  <si>
    <t>age/motif</t>
  </si>
  <si>
    <t>EDUCATEURS DE JEUNES ENFANTS</t>
  </si>
  <si>
    <r>
      <t xml:space="preserve">Nombre total de titulaires et stagiaires occupant un emploi permanent ayant participé à un ou plusieurs types de formation dans l'année
</t>
    </r>
    <r>
      <rPr>
        <i/>
        <sz val="9"/>
        <rFont val="Arial"/>
        <family val="2"/>
      </rPr>
      <t>ex : 1 agent a suivi 2 types de formations, il est comptabilisé dans chaque type de formation</t>
    </r>
  </si>
  <si>
    <t>Moniteurs-éducateurs et intervenants familiaux</t>
  </si>
  <si>
    <t>Agents spécialisés des écoles maternelles (ASEM)</t>
  </si>
  <si>
    <t>Agents sociaux</t>
  </si>
  <si>
    <t>Médecins</t>
  </si>
  <si>
    <t xml:space="preserve">Psychologues </t>
  </si>
  <si>
    <t>Sages-femmes</t>
  </si>
  <si>
    <t>temps</t>
  </si>
  <si>
    <t>TEMPS PLEIN</t>
  </si>
  <si>
    <t>Tout type de TEMPS PARTIEL (sauf thérapeutique)</t>
  </si>
  <si>
    <t>Moins de 80%</t>
  </si>
  <si>
    <t xml:space="preserve"> de 80% à moins de 90%</t>
  </si>
  <si>
    <t>90% et plus</t>
  </si>
  <si>
    <t>Hommes 1.1.2(1)</t>
  </si>
  <si>
    <t>Femmes 1.1.2(2)</t>
  </si>
  <si>
    <t>Hommes 1.1.2(3)</t>
  </si>
  <si>
    <t>Femmes 1.1.2(4)</t>
  </si>
  <si>
    <t>Hommes 1.1.2(5)</t>
  </si>
  <si>
    <t>Femmes 1.1.2(6)</t>
  </si>
  <si>
    <t>Hommes 1.1.2(7)</t>
  </si>
  <si>
    <t>Femmes 1.1.2(8)</t>
  </si>
  <si>
    <t>article/temps/ancienneté/sexe</t>
  </si>
  <si>
    <t xml:space="preserve">Techniciens </t>
  </si>
  <si>
    <t>5.1.4.3</t>
  </si>
  <si>
    <t>5.1.4.4</t>
  </si>
  <si>
    <t>Hommes 1.2.2(1)</t>
  </si>
  <si>
    <t>Femmes 1.2.2(2)</t>
  </si>
  <si>
    <t>Hommes 1.2.2(3)</t>
  </si>
  <si>
    <t>Femmes 1.2.2(4)</t>
  </si>
  <si>
    <t>Hommes 1.2.2(5)</t>
  </si>
  <si>
    <t>Femmes 1.2.2(6)</t>
  </si>
  <si>
    <t>Hommes 1.2.2(7)</t>
  </si>
  <si>
    <t>Femmes 1.2.2(8)</t>
  </si>
  <si>
    <r>
      <rPr>
        <b/>
        <i/>
        <sz val="10"/>
        <color indexed="10"/>
        <rFont val="Arial"/>
        <family val="2"/>
      </rPr>
      <t>Remarque importante :</t>
    </r>
    <r>
      <rPr>
        <i/>
        <sz val="10"/>
        <rFont val="Arial"/>
        <family val="2"/>
      </rPr>
      <t xml:space="preserve"> les agents occupant un</t>
    </r>
    <r>
      <rPr>
        <i/>
        <u/>
        <sz val="10"/>
        <rFont val="Arial"/>
        <family val="2"/>
      </rPr>
      <t xml:space="preserve"> emploi fonctionnel </t>
    </r>
    <r>
      <rPr>
        <i/>
        <sz val="10"/>
        <rFont val="Arial"/>
        <family val="2"/>
      </rPr>
      <t xml:space="preserve">doivent être uniquement comptabilisés dans leurs </t>
    </r>
    <r>
      <rPr>
        <b/>
        <i/>
        <sz val="10"/>
        <rFont val="Arial"/>
        <family val="2"/>
      </rPr>
      <t>cadres d'emplois et grades respectifs</t>
    </r>
    <r>
      <rPr>
        <i/>
        <sz val="10"/>
        <rFont val="Arial"/>
        <family val="2"/>
      </rPr>
      <t>.</t>
    </r>
  </si>
  <si>
    <r>
      <rPr>
        <sz val="10"/>
        <rFont val="Arial"/>
        <family val="2"/>
      </rPr>
      <t>L’indicateur 1.1.4. détaille les effectifs en ETPR</t>
    </r>
    <r>
      <rPr>
        <b/>
        <sz val="10"/>
        <rFont val="Arial"/>
        <family val="2"/>
      </rPr>
      <t xml:space="preserve"> (1 ETPR = 1 unité), </t>
    </r>
  </si>
  <si>
    <r>
      <rPr>
        <sz val="10"/>
        <rFont val="Arial"/>
        <family val="2"/>
      </rPr>
      <t>L'indicateur 1.6.2 totalise les montants en euros (€) des dépenses mentionnées aux</t>
    </r>
    <r>
      <rPr>
        <b/>
        <sz val="10"/>
        <rFont val="Arial"/>
        <family val="2"/>
        <charset val="1"/>
      </rPr>
      <t xml:space="preserve"> I, II, III et IV de l'article 6 du décret numéro 2006-501 du 3 mai 2006</t>
    </r>
  </si>
  <si>
    <r>
      <rPr>
        <sz val="10"/>
        <rFont val="Arial"/>
        <family val="2"/>
      </rPr>
      <t>Il s’agit des dépenses mentionnées à l'</t>
    </r>
    <r>
      <rPr>
        <b/>
        <sz val="10"/>
        <rFont val="Arial"/>
        <family val="2"/>
        <charset val="1"/>
      </rPr>
      <t>article L323-8-6-1 du code du travail</t>
    </r>
    <r>
      <rPr>
        <sz val="10"/>
        <rFont val="Arial"/>
        <family val="2"/>
      </rPr>
      <t xml:space="preserve"> et à l’</t>
    </r>
    <r>
      <rPr>
        <b/>
        <sz val="10"/>
        <rFont val="Arial"/>
        <family val="2"/>
        <charset val="1"/>
      </rPr>
      <t>article 6 du décret n° 2006-501 du 10 juin 2006</t>
    </r>
    <r>
      <rPr>
        <sz val="10"/>
        <rFont val="Arial"/>
        <family val="2"/>
      </rPr>
      <t xml:space="preserve"> relatif au </t>
    </r>
    <r>
      <rPr>
        <b/>
        <sz val="10"/>
        <rFont val="Arial"/>
        <family val="2"/>
        <charset val="1"/>
      </rPr>
      <t>fond pour l'insertion des personnes en situation de handicap dans la fonction publique</t>
    </r>
    <r>
      <rPr>
        <sz val="10"/>
        <rFont val="Arial"/>
        <family val="2"/>
      </rPr>
      <t xml:space="preserve"> : </t>
    </r>
  </si>
  <si>
    <r>
      <t>-</t>
    </r>
    <r>
      <rPr>
        <b/>
        <sz val="10"/>
        <rFont val="Arial"/>
        <family val="2"/>
        <charset val="1"/>
      </rPr>
      <t>I : sous-traitance :</t>
    </r>
    <r>
      <rPr>
        <sz val="10"/>
        <rFont val="Arial"/>
        <family val="2"/>
      </rPr>
      <t xml:space="preserve"> contrats avec les entreprises adaptées, ESAT, etc (dépenses réalisées en application de l'article L. 323-8 du code du travail, mentionnées au troisième alinéa de l'article L. 323-8-6-1 de ce même code). Les dépenses sont égales au prix des fournitures et prestations figurant au contrat.</t>
    </r>
  </si>
  <si>
    <r>
      <t>-</t>
    </r>
    <r>
      <rPr>
        <b/>
        <sz val="10"/>
        <rFont val="Arial"/>
        <family val="2"/>
        <charset val="1"/>
      </rPr>
      <t>II :</t>
    </r>
    <r>
      <rPr>
        <sz val="10"/>
        <rFont val="Arial"/>
        <family val="2"/>
      </rPr>
      <t xml:space="preserve"> dépenses en vue de </t>
    </r>
    <r>
      <rPr>
        <b/>
        <sz val="10"/>
        <rFont val="Arial"/>
        <family val="2"/>
        <charset val="1"/>
      </rPr>
      <t>faciliter l’insertion professionnelle des personnes en situation de handicap</t>
    </r>
    <r>
      <rPr>
        <sz val="10"/>
        <rFont val="Arial"/>
        <family val="2"/>
      </rPr>
      <t xml:space="preserve"> mentionnées au troisième alinéa du IV de l'article L. 328-8-6-1 du code du travail.</t>
    </r>
  </si>
  <si>
    <r>
      <t>-</t>
    </r>
    <r>
      <rPr>
        <b/>
        <sz val="10"/>
        <rFont val="Arial"/>
        <family val="2"/>
        <charset val="1"/>
      </rPr>
      <t>III :</t>
    </r>
    <r>
      <rPr>
        <sz val="10"/>
        <rFont val="Arial"/>
        <family val="2"/>
      </rPr>
      <t xml:space="preserve"> dépenses pour</t>
    </r>
    <r>
      <rPr>
        <b/>
        <sz val="10"/>
        <rFont val="Arial"/>
        <family val="2"/>
        <charset val="1"/>
      </rPr>
      <t xml:space="preserve"> accueillir ou maintenir dans l’emploi les personnes lourdement handicapées</t>
    </r>
    <r>
      <rPr>
        <sz val="10"/>
        <rFont val="Arial"/>
        <family val="2"/>
      </rPr>
      <t>, mentionnées au troisième alinéa du IV de l'article L. 328-8-6-1 du code du travail. La totalité de ces dépenses est comptabilisée par l'employeur pour le double de son montant dès lors qu'elle dépasse, pour l'agent concerné, 35% du traitement annuel minimum servi à un agent occupant à temps complet un emploi public apprécié au 31 décembre de l'année écoulée (17 490,24 euros). Dans le cas contraire, la dépense n'est pas prise en compte au III mais pourra éventuellement selon sa nature être intégrée à la ligne des dépenses de type II (dépenses affectées à des mesures en vue de faciliter l'insertion professionnelle).</t>
    </r>
  </si>
  <si>
    <r>
      <t xml:space="preserve">-IV : </t>
    </r>
    <r>
      <rPr>
        <sz val="10"/>
        <rFont val="Arial"/>
        <family val="2"/>
      </rPr>
      <t>dépenses  d’</t>
    </r>
    <r>
      <rPr>
        <b/>
        <sz val="10"/>
        <rFont val="Arial"/>
        <family val="2"/>
        <charset val="1"/>
      </rPr>
      <t>aménagement de poste de travail pour maintien dans l’emploi des agents reconnus inaptes à l’exercice de leur fonctions</t>
    </r>
    <r>
      <rPr>
        <sz val="10"/>
        <rFont val="Arial"/>
        <family val="2"/>
      </rPr>
      <t xml:space="preserve"> et ne relevant pas des catégories d’agents mentionnées à l’article 2 du décret. Le coût de la dépense pour un agent (la dépense doit donc être individualisée) doit excéder 10 % du traitement brut annuel minimum (17 169,12 euros) pour être pris en compte.</t>
    </r>
  </si>
  <si>
    <r>
      <rPr>
        <sz val="10"/>
        <rFont val="Arial"/>
        <family val="2"/>
      </rPr>
      <t xml:space="preserve">Ces dépenses, énumérées ci-dessus dans I, II,III et IV, sont converties en unités déductibles du nombre d'unités manquantes pour atteindre le taux d'emploi minimal de 6 % imposé par la loi. Le nombre d'unités manquantes correspond à la différence entre le nombre total de personnes rémunérées par l'employeur auquel est appliquée la proportion de 6%, arrondi à l'unité inférieure, et celui des bénéficiaires de l'obligation d'emploi (article L. 323-8-6-1 du code du travail). </t>
    </r>
  </si>
  <si>
    <r>
      <rPr>
        <sz val="10"/>
        <rFont val="Arial"/>
        <family val="2"/>
      </rPr>
      <t>La conversion des dépenses en unités déductibles s'effectue de la manière suivante : somme des montants de dépenses de l'année écoulée/montant du traitement brut annuel minimum de la fonction publique au 31 décembre de l'année écoulée (</t>
    </r>
    <r>
      <rPr>
        <b/>
        <sz val="10"/>
        <rFont val="Arial"/>
        <family val="2"/>
        <charset val="1"/>
      </rPr>
      <t>17 375,78 euros</t>
    </r>
    <r>
      <rPr>
        <sz val="10"/>
        <rFont val="Arial"/>
        <family val="2"/>
      </rPr>
      <t>). Le nombre d'unités déductibles est plafonné à la moitié du nombre d'agents qui devraient effectivement être rémunérés par l'employeur pour respecter l'obligation d'emploi (article 4 du décret n° 2006-501 relatif au FIPHFP).</t>
    </r>
  </si>
  <si>
    <r>
      <t xml:space="preserve">- pour le calcul des dépenses comme celui des unités déductibles, il est conseillé de se reporter au </t>
    </r>
    <r>
      <rPr>
        <b/>
        <i/>
        <sz val="10"/>
        <rFont val="Arial"/>
        <family val="2"/>
        <charset val="1"/>
      </rPr>
      <t>guide d'aide à la déclaration annuelle au FIPHFP</t>
    </r>
    <r>
      <rPr>
        <i/>
        <sz val="10"/>
        <rFont val="Arial"/>
        <family val="2"/>
        <charset val="1"/>
      </rPr>
      <t xml:space="preserve"> sur le site du FIPHFP.</t>
    </r>
  </si>
  <si>
    <r>
      <t>- ici, les</t>
    </r>
    <r>
      <rPr>
        <b/>
        <i/>
        <sz val="10"/>
        <rFont val="Arial"/>
        <family val="2"/>
        <charset val="1"/>
      </rPr>
      <t xml:space="preserve"> unités déductibles</t>
    </r>
    <r>
      <rPr>
        <i/>
        <sz val="10"/>
        <rFont val="Arial"/>
        <family val="2"/>
        <charset val="1"/>
      </rPr>
      <t xml:space="preserve"> font l'objet d'un </t>
    </r>
    <r>
      <rPr>
        <b/>
        <i/>
        <sz val="10"/>
        <rFont val="Arial"/>
        <family val="2"/>
        <charset val="1"/>
      </rPr>
      <t>calcul automatique</t>
    </r>
    <r>
      <rPr>
        <i/>
        <sz val="10"/>
        <rFont val="Arial"/>
        <family val="2"/>
        <charset val="1"/>
      </rPr>
      <t xml:space="preserve"> et ne doivent donc pas être remplies.</t>
    </r>
  </si>
  <si>
    <r>
      <rPr>
        <sz val="10"/>
        <rFont val="Arial"/>
        <family val="2"/>
      </rPr>
      <t xml:space="preserve">L'indicateur 1.6.2 (2) recense les </t>
    </r>
    <r>
      <rPr>
        <b/>
        <sz val="10"/>
        <rFont val="Arial"/>
        <family val="2"/>
        <charset val="1"/>
      </rPr>
      <t>taux d'emploi</t>
    </r>
    <r>
      <rPr>
        <sz val="10"/>
        <rFont val="Arial"/>
        <family val="2"/>
      </rPr>
      <t xml:space="preserve"> </t>
    </r>
    <r>
      <rPr>
        <b/>
        <sz val="10"/>
        <rFont val="Arial"/>
        <family val="2"/>
        <charset val="1"/>
      </rPr>
      <t xml:space="preserve">direct et légal des personnes en situation de handicap </t>
    </r>
    <r>
      <rPr>
        <sz val="10"/>
        <rFont val="Arial"/>
        <family val="2"/>
      </rPr>
      <t>(BOETH).</t>
    </r>
  </si>
  <si>
    <r>
      <rPr>
        <sz val="10"/>
        <rFont val="Arial"/>
        <family val="2"/>
      </rPr>
      <t xml:space="preserve">Le </t>
    </r>
    <r>
      <rPr>
        <b/>
        <sz val="10"/>
        <rFont val="Arial"/>
        <family val="2"/>
        <charset val="1"/>
      </rPr>
      <t xml:space="preserve">taux d’emploi direct </t>
    </r>
    <r>
      <rPr>
        <sz val="10"/>
        <rFont val="Arial"/>
        <family val="2"/>
      </rPr>
      <t>est le taux d'emploi de travailleur en situation de handicap : (bénéficiaires de l’obligation d’emploi/effectif total)X100.</t>
    </r>
  </si>
  <si>
    <r>
      <rPr>
        <sz val="10"/>
        <rFont val="Arial"/>
        <family val="2"/>
      </rPr>
      <t>Le</t>
    </r>
    <r>
      <rPr>
        <b/>
        <sz val="10"/>
        <rFont val="Arial"/>
        <family val="2"/>
        <charset val="1"/>
      </rPr>
      <t xml:space="preserve"> taux d’emploi légal</t>
    </r>
    <r>
      <rPr>
        <sz val="10"/>
        <rFont val="Arial"/>
        <family val="2"/>
      </rPr>
      <t xml:space="preserve"> prend en compte les travailleurs en situation de handicap et les dépenses donnant lieu à unités déductibles : [(bénéficiaires de l’obligation d’emploi+nombre d’unités déductibles)/effectif total] X100.</t>
    </r>
  </si>
  <si>
    <r>
      <t>Remarque</t>
    </r>
    <r>
      <rPr>
        <i/>
        <sz val="10"/>
        <color indexed="45"/>
        <rFont val="Arial"/>
        <family val="2"/>
        <charset val="1"/>
      </rPr>
      <t xml:space="preserve"> : </t>
    </r>
    <r>
      <rPr>
        <i/>
        <sz val="10"/>
        <rFont val="Arial"/>
        <family val="2"/>
      </rPr>
      <t>ici, les</t>
    </r>
    <r>
      <rPr>
        <b/>
        <i/>
        <sz val="10"/>
        <rFont val="Arial"/>
        <family val="2"/>
      </rPr>
      <t xml:space="preserve"> taux d'emploi</t>
    </r>
    <r>
      <rPr>
        <i/>
        <sz val="10"/>
        <rFont val="Arial"/>
        <family val="2"/>
      </rPr>
      <t xml:space="preserve"> font l'objet d'un </t>
    </r>
    <r>
      <rPr>
        <b/>
        <i/>
        <sz val="10"/>
        <rFont val="Arial"/>
        <family val="2"/>
      </rPr>
      <t>calcul automatique</t>
    </r>
    <r>
      <rPr>
        <i/>
        <sz val="10"/>
        <rFont val="Arial"/>
        <family val="2"/>
      </rPr>
      <t xml:space="preserve"> et ne doivent donc pas être remplis</t>
    </r>
    <r>
      <rPr>
        <i/>
        <sz val="10"/>
        <color indexed="45"/>
        <rFont val="Arial"/>
        <family val="2"/>
        <charset val="1"/>
      </rPr>
      <t>.</t>
    </r>
  </si>
  <si>
    <t>*comptabiliser les puéricultrices du cadre d'emplois du décret n° 92-859 du 28 août 1992 modifié et du cadre d'emplois du décret n° 2014-923 du 18 août 2014.</t>
  </si>
  <si>
    <t>cadre</t>
  </si>
  <si>
    <t>categorie</t>
  </si>
  <si>
    <t>3</t>
  </si>
  <si>
    <t>* Comptabiliser les puéricultrices du cadre d'emplois du décret n° 92-859  du 28 août 1992 modifié et du cadre d'emplois du décret n° 2014-923 du 18 août 2014.</t>
  </si>
  <si>
    <t>1.2.1(18)</t>
  </si>
  <si>
    <t>Pour les agents de catégorie A</t>
  </si>
  <si>
    <t>form</t>
  </si>
  <si>
    <t>Préparations aux concours et examens d'accès à la F.P.T.</t>
  </si>
  <si>
    <t>Formation prévue par les statuts particuliers</t>
  </si>
  <si>
    <t>Détachés sur un emploi de cabinet dans leur collectivité</t>
  </si>
  <si>
    <t>Changement de filière</t>
  </si>
  <si>
    <t>Ensemble</t>
  </si>
  <si>
    <t>dont mis à disposition d'une organisation syndicale</t>
  </si>
  <si>
    <t xml:space="preserve">     1.4.2 Nombre d'agents originaires d'une autre structure </t>
  </si>
  <si>
    <t>Emploi non fonctionnel</t>
  </si>
  <si>
    <t>Emploi fonctionnel</t>
  </si>
  <si>
    <t>Emploi de cabinet</t>
  </si>
  <si>
    <t>Détachés dans votre collectivité et issus de :</t>
  </si>
  <si>
    <t>emploi3/position2</t>
  </si>
  <si>
    <t>Nombre d'agents ayant un compte épargne temps</t>
  </si>
  <si>
    <t>FILIERES</t>
  </si>
  <si>
    <t>moins de</t>
  </si>
  <si>
    <r>
      <t xml:space="preserve">
</t>
    </r>
    <r>
      <rPr>
        <b/>
        <sz val="9"/>
        <rFont val="Arial"/>
        <family val="2"/>
      </rPr>
      <t>17 H 30 à</t>
    </r>
  </si>
  <si>
    <r>
      <t xml:space="preserve">
</t>
    </r>
    <r>
      <rPr>
        <b/>
        <sz val="9"/>
        <rFont val="Arial"/>
        <family val="2"/>
      </rPr>
      <t>28 H</t>
    </r>
  </si>
  <si>
    <t xml:space="preserve"> - en congé maladie pour les contractuels.</t>
  </si>
  <si>
    <t>* Si un agent a été absent sur plusieurs périodes dans l'année, ne le compter qu'une seule fois.</t>
  </si>
  <si>
    <t xml:space="preserve">Temps partiel de droit </t>
  </si>
  <si>
    <t xml:space="preserve">Temps partiel sur autorisation </t>
  </si>
  <si>
    <t>1.2.3(1)</t>
  </si>
  <si>
    <t>1.2.3(2)</t>
  </si>
  <si>
    <t>31</t>
  </si>
  <si>
    <t>emploi</t>
  </si>
  <si>
    <t>Informations complémentaires pour l'exploitation statistique du rapport</t>
  </si>
  <si>
    <t>06</t>
  </si>
  <si>
    <t>Contractuels sur emploi NON permanent</t>
  </si>
  <si>
    <t>Taux d'emploi direct des travailleurs en situation de handicap</t>
  </si>
  <si>
    <r>
      <t>Comptabiliser seulement les</t>
    </r>
    <r>
      <rPr>
        <b/>
        <sz val="9"/>
        <rFont val="Arial"/>
        <family val="2"/>
      </rPr>
      <t xml:space="preserve"> visites médicales</t>
    </r>
    <r>
      <rPr>
        <sz val="9"/>
        <rFont val="Arial"/>
        <family val="2"/>
      </rPr>
      <t xml:space="preserve"> </t>
    </r>
    <r>
      <rPr>
        <u/>
        <sz val="9"/>
        <rFont val="Arial"/>
        <family val="2"/>
      </rPr>
      <t>sur demande de l'agent</t>
    </r>
    <r>
      <rPr>
        <sz val="9"/>
        <rFont val="Arial"/>
        <family val="2"/>
      </rPr>
      <t>.</t>
    </r>
  </si>
  <si>
    <t xml:space="preserve">1.6.1 - Nombre d'agents en situation de handicap (y compris reclassés) par catégorie hiérarchique, statut et sexe </t>
  </si>
  <si>
    <t xml:space="preserve">Nombre d'agents </t>
  </si>
  <si>
    <t>3.4.2 - Indemnisation du chômage pour les contractuels (auto-assurance ou adhésion au régime d'assurance chômage)</t>
  </si>
  <si>
    <t>d'autres collectivités territoriales</t>
  </si>
  <si>
    <t>d'autres organismes (par ex.: FPEUE)</t>
  </si>
  <si>
    <t>Transfert de compétence</t>
  </si>
  <si>
    <t>1.5.2(7)</t>
  </si>
  <si>
    <t>1.5.2(8)</t>
  </si>
  <si>
    <t>1.5.2(9)</t>
  </si>
  <si>
    <t>1.5.2(10)</t>
  </si>
  <si>
    <t>1.5.2(12)</t>
  </si>
  <si>
    <t>1.5.2(13)</t>
  </si>
  <si>
    <t>1.5.2(14)</t>
  </si>
  <si>
    <t>Auxiliaire de soins principal de 2ème classe stagiaire</t>
  </si>
  <si>
    <t xml:space="preserve">Gardien-brigadier </t>
  </si>
  <si>
    <t>Nombre total de journées d'absence au titre du congé de solidarité familiale</t>
  </si>
  <si>
    <t>2.1.7 - Entretiens avant et après des congés de 6 mois ou plus</t>
  </si>
  <si>
    <t>Ecart (en %)</t>
  </si>
  <si>
    <t>Salaire brut moyen des hommes (en ETPR)</t>
  </si>
  <si>
    <t>Salaire brut moyen des femmes (en ETPR)</t>
  </si>
  <si>
    <t>Directeur d'établissement d'enseignement artistique de 2ème catégorie stagiaire</t>
  </si>
  <si>
    <t>Conseiller hors classe socio-éducatif</t>
  </si>
  <si>
    <t>Assistant socio-éducatif de classe exceptionnelle</t>
  </si>
  <si>
    <t>Assistant socio-éducatif  de 1ère classe</t>
  </si>
  <si>
    <t>Educateur de jeunes enfants de classe exceptionnelle</t>
  </si>
  <si>
    <t>Educateur de jeunes enfants de 1ère classe</t>
  </si>
  <si>
    <t>Médecin de 2ème classe stagiaire</t>
  </si>
  <si>
    <t>Puéricultrice de classe normale stagiaire</t>
  </si>
  <si>
    <t>Infirmier de classe normale stagiaire</t>
  </si>
  <si>
    <t>Contractuels sur emploi permanent*</t>
  </si>
  <si>
    <t>Forfait</t>
  </si>
  <si>
    <t>Anciens titulaires</t>
  </si>
  <si>
    <t>Anciens stagiaires</t>
  </si>
  <si>
    <t>Anciens contractuels</t>
  </si>
  <si>
    <t>Fonctionnaires sur emploi non permanent</t>
  </si>
  <si>
    <t>6.1.2 - Droits syndicaux</t>
  </si>
  <si>
    <t>6.1.3 - Conflits du travail : grèves</t>
  </si>
  <si>
    <t>Attaché hors classe</t>
  </si>
  <si>
    <t>Adjoint administratif principal de 2ème classe stagiaire</t>
  </si>
  <si>
    <t>Adjoint administratif</t>
  </si>
  <si>
    <t>Adjoint administratif stagiaire</t>
  </si>
  <si>
    <t>Adjoint technique</t>
  </si>
  <si>
    <t>Adjoint technique stagiaire</t>
  </si>
  <si>
    <t xml:space="preserve">Attaché principal de conservation du patrimoine </t>
  </si>
  <si>
    <t>Bibliothécaire principal</t>
  </si>
  <si>
    <t>Adjoint territorial du patrimoine</t>
  </si>
  <si>
    <t>Adjoint territorial du patrimoine stagiaire</t>
  </si>
  <si>
    <t>Opérateur qualifié stagiaire</t>
  </si>
  <si>
    <t>Comptabiliser les coûts directs de formation d'une part (5.1.4.1, 5.1.4.2 et 5.1.4.3) et les frais de déplacement liés à la formation d'autre part (5.1.4.4).</t>
  </si>
  <si>
    <t>Quelles sont les informations recherchées par type de formation ?</t>
  </si>
  <si>
    <t xml:space="preserve">Apprentis </t>
  </si>
  <si>
    <t>statut2/form valid</t>
  </si>
  <si>
    <t>Validation des acquis et des expériences</t>
  </si>
  <si>
    <t>Dossiers déposés durant l'année</t>
  </si>
  <si>
    <t>Dossiers en cours</t>
  </si>
  <si>
    <t>Dossiers ayant débouché dans l'année sur une validation</t>
  </si>
  <si>
    <t>Bilans de compétence</t>
  </si>
  <si>
    <t>Nombre de bilans de compétences financés par la collectivité territoriale</t>
  </si>
  <si>
    <t>Congé de formation</t>
  </si>
  <si>
    <t>La validation des acquis et de l’expérience professionnelle (VAE) est un dispositif permettant aux agents pouvant justifier d’une expérience professionnelle de transformer cette expérience en un diplôme. Pour cela, un dossier doit être constitué et présenté à la commission placée auprès de la structure qui a délivré le diplôme sollicité par l'agent (école, université...). Ref. Loi de Modernisation sociale du 17 janvier 2002.</t>
  </si>
  <si>
    <t>cout formation</t>
  </si>
  <si>
    <t xml:space="preserve">CNFPT au titre de la cotisation obligatoire </t>
  </si>
  <si>
    <t xml:space="preserve">Autres organismes </t>
  </si>
  <si>
    <t>Frais de déplacement à la charge de la collectivité</t>
  </si>
  <si>
    <t>Coût total des actions de formation</t>
  </si>
  <si>
    <t>Tous les montants doivent être exprimés en  euros (arrondir à l'euro supérieur).</t>
  </si>
  <si>
    <t>Les agents recensés dans les colonnes 1.2.1(1) à 1.2.1(9) sont à nouveau recensés dans les colonnes 1.2.1(15) à 1.2.1(18), tous cas de recrutement confondus. Par conséquent, le total des colonnes 1.2.1(15) à 1.2.1(18) doit être égal à la colonne de total des colonnes 1.2.1(1) à 1.2.1(9).</t>
  </si>
  <si>
    <t xml:space="preserve">  - IND 1.4.4 - Fonctionnaires pris en charge par le CDG ou le CNFPT (articles 53 et 97) </t>
  </si>
  <si>
    <t>41</t>
  </si>
  <si>
    <t>12</t>
  </si>
  <si>
    <r>
      <t>3.1.1 et 3.2.1</t>
    </r>
    <r>
      <rPr>
        <sz val="9"/>
        <rFont val="Arial"/>
        <family val="2"/>
      </rPr>
      <t xml:space="preserve"> incluent dans le traitement brut annuel, les indemnités de résidence (IR), le supplément familial de traitement (SFT), les primes ou indemnités de toutes natures, ainsi que la NBI pour 3.1.1.</t>
    </r>
  </si>
  <si>
    <t>Montant total des rémunérations annuelles brutes (hors charges patronales)</t>
  </si>
  <si>
    <t>3.1.1.3</t>
  </si>
  <si>
    <t>3.1.1.5</t>
  </si>
  <si>
    <r>
      <t>Pour la gestion de l'indemnisation du chômage de</t>
    </r>
    <r>
      <rPr>
        <b/>
        <sz val="9"/>
        <rFont val="Arial"/>
        <family val="2"/>
      </rPr>
      <t xml:space="preserve"> vos anciens agents TITULAIRES</t>
    </r>
    <r>
      <rPr>
        <sz val="9"/>
        <rFont val="Arial"/>
        <family val="2"/>
      </rPr>
      <t>, vous êtes :</t>
    </r>
  </si>
  <si>
    <r>
      <t>Pour la gestion de l'indemnisation du chômage de vos</t>
    </r>
    <r>
      <rPr>
        <b/>
        <sz val="9"/>
        <rFont val="Arial"/>
        <family val="2"/>
      </rPr>
      <t xml:space="preserve"> anciens contractuels</t>
    </r>
    <r>
      <rPr>
        <sz val="9"/>
        <rFont val="Arial"/>
        <family val="2"/>
      </rPr>
      <t>, vous :</t>
    </r>
  </si>
  <si>
    <r>
      <rPr>
        <b/>
        <i/>
        <sz val="10"/>
        <color indexed="10"/>
        <rFont val="Arial"/>
        <family val="2"/>
      </rPr>
      <t xml:space="preserve">Remarque : </t>
    </r>
    <r>
      <rPr>
        <b/>
        <i/>
        <sz val="10"/>
        <rFont val="Arial"/>
        <family val="2"/>
      </rPr>
      <t>Ne pas remplir</t>
    </r>
    <r>
      <rPr>
        <i/>
        <sz val="10"/>
        <rFont val="Arial"/>
        <family val="2"/>
      </rPr>
      <t xml:space="preserve"> les </t>
    </r>
    <r>
      <rPr>
        <b/>
        <i/>
        <sz val="10"/>
        <rFont val="Arial"/>
        <family val="2"/>
      </rPr>
      <t>cellules grisées</t>
    </r>
    <r>
      <rPr>
        <i/>
        <sz val="10"/>
        <rFont val="Arial"/>
        <family val="2"/>
      </rPr>
      <t xml:space="preserve"> (pré remplies par un zéro) qui font l’objet de </t>
    </r>
    <r>
      <rPr>
        <b/>
        <i/>
        <sz val="10"/>
        <rFont val="Arial"/>
        <family val="2"/>
      </rPr>
      <t xml:space="preserve">calculs automatiques. </t>
    </r>
  </si>
  <si>
    <t>IND 3.4.4</t>
  </si>
  <si>
    <t xml:space="preserve">  - IND 3.4.5 - Dépenses de fonctionnement de la collectivité et dépenses de personnel </t>
  </si>
  <si>
    <t>IND 3.4.5</t>
  </si>
  <si>
    <r>
      <rPr>
        <b/>
        <i/>
        <sz val="10"/>
        <color indexed="10"/>
        <rFont val="Arial"/>
        <family val="2"/>
      </rPr>
      <t>Remarque :</t>
    </r>
    <r>
      <rPr>
        <b/>
        <i/>
        <sz val="10"/>
        <rFont val="Arial"/>
        <family val="2"/>
      </rPr>
      <t xml:space="preserve"> Ne pas remplir</t>
    </r>
    <r>
      <rPr>
        <i/>
        <sz val="10"/>
        <rFont val="Arial"/>
        <family val="2"/>
      </rPr>
      <t xml:space="preserve"> les </t>
    </r>
    <r>
      <rPr>
        <b/>
        <i/>
        <sz val="10"/>
        <rFont val="Arial"/>
        <family val="2"/>
      </rPr>
      <t xml:space="preserve">cellules grisées. </t>
    </r>
  </si>
  <si>
    <t>INFIRMIERS</t>
  </si>
  <si>
    <t>ON</t>
  </si>
  <si>
    <t>Auxiliaire de puériculture principal de 1ère classe</t>
  </si>
  <si>
    <t>TOJ3</t>
  </si>
  <si>
    <t>Auxiliaire de puériculture principal de 2ème classe</t>
  </si>
  <si>
    <t>TOJ2</t>
  </si>
  <si>
    <t>AUXILIAIRES DE PUERICULTURE</t>
  </si>
  <si>
    <t>OJ</t>
  </si>
  <si>
    <t>Auxiliaire de soins principal de 1ère classe</t>
  </si>
  <si>
    <t>TOK3</t>
  </si>
  <si>
    <t>Auxiliaire de soins principal de 2ème classe</t>
  </si>
  <si>
    <t>TOK2</t>
  </si>
  <si>
    <t>AUXILIAIRES DE SOINS</t>
  </si>
  <si>
    <t>OK</t>
  </si>
  <si>
    <t>O</t>
  </si>
  <si>
    <t>FILIERE MEDICO-TECHNIQUE</t>
  </si>
  <si>
    <t xml:space="preserve">5.1.2(10) </t>
  </si>
  <si>
    <t>5.1.4.1</t>
  </si>
  <si>
    <t>5.1.4.2</t>
  </si>
  <si>
    <t>Prestations servies directement  par la collectivité territoriale (*)</t>
  </si>
  <si>
    <t>Places réservées en crèche</t>
  </si>
  <si>
    <t>Aides financières pour la garde d'enfants ou les activités péri-scolaires</t>
  </si>
  <si>
    <t xml:space="preserve"> Santé       </t>
  </si>
  <si>
    <t xml:space="preserve"> Prévoyance </t>
  </si>
  <si>
    <t xml:space="preserve"> - via une convention de participation</t>
  </si>
  <si>
    <t xml:space="preserve"> - via un contrat ou un règlement labellisé</t>
  </si>
  <si>
    <t>Nombre total de bénéficiaires</t>
  </si>
  <si>
    <t>Montant total des participations*  (en €)</t>
  </si>
  <si>
    <r>
      <t xml:space="preserve">  </t>
    </r>
    <r>
      <rPr>
        <b/>
        <sz val="26"/>
        <rFont val="Arial"/>
        <family val="2"/>
      </rPr>
      <t>.</t>
    </r>
    <r>
      <rPr>
        <b/>
        <sz val="9"/>
        <rFont val="Arial"/>
        <family val="2"/>
      </rPr>
      <t xml:space="preserve"> La collectivité…</t>
    </r>
  </si>
  <si>
    <t>oui</t>
  </si>
  <si>
    <t>non</t>
  </si>
  <si>
    <t xml:space="preserve">                *  Est-elle affiliée au Centre de gestion ?</t>
  </si>
  <si>
    <r>
      <t xml:space="preserve">  </t>
    </r>
    <r>
      <rPr>
        <b/>
        <sz val="26"/>
        <rFont val="Arial"/>
        <family val="2"/>
      </rPr>
      <t>.</t>
    </r>
    <r>
      <rPr>
        <sz val="10"/>
        <rFont val="Arial"/>
        <family val="2"/>
      </rPr>
      <t xml:space="preserve"> Pour les </t>
    </r>
    <r>
      <rPr>
        <b/>
        <sz val="10"/>
        <rFont val="Arial"/>
        <family val="2"/>
      </rPr>
      <t>OPHLM et les ODHLM</t>
    </r>
    <r>
      <rPr>
        <sz val="10"/>
        <rFont val="Arial"/>
        <family val="2"/>
      </rPr>
      <t>, le nombre de logements gérés</t>
    </r>
  </si>
  <si>
    <t>02 - Département</t>
  </si>
  <si>
    <t>03 - Service départemental d'incendie et de secours</t>
  </si>
  <si>
    <t>04 - Centre de gestion de la fonction publique territoriale</t>
  </si>
  <si>
    <t>05 - Centre national de la fonction publique territoriale</t>
  </si>
  <si>
    <t>07 - Centre communal d'action sociale (CCAS)</t>
  </si>
  <si>
    <t>08 - Caisse des écoles (CDE)</t>
  </si>
  <si>
    <t>09 - Caisse de crédit municipal</t>
  </si>
  <si>
    <r>
      <t>Remarque :</t>
    </r>
    <r>
      <rPr>
        <i/>
        <sz val="10"/>
        <color indexed="45"/>
        <rFont val="Arial"/>
        <family val="2"/>
      </rPr>
      <t xml:space="preserve"> </t>
    </r>
    <r>
      <rPr>
        <i/>
        <sz val="10"/>
        <rFont val="Arial"/>
        <family val="2"/>
      </rPr>
      <t>les agents recensés dans les colonnes 1.5.2(0) à 1.5.2(16) sont à nouveau recensés dans les colonnes 1.5.2(17) à 1.5.2(20), tous motifs de recrutement confondus. Par conséquent, le total des colonnes 1.5.2(0) à 1.5.2(16) doit être égal au total des colonnes 1.5.2(17) à 1.5.2(20).</t>
    </r>
  </si>
  <si>
    <r>
      <rPr>
        <sz val="10"/>
        <rFont val="Arial"/>
        <family val="2"/>
      </rPr>
      <t xml:space="preserve">L’indicateur 1.5.3. recense les effectifs en nombre de personnes physiques </t>
    </r>
    <r>
      <rPr>
        <b/>
        <sz val="10"/>
        <rFont val="Arial"/>
        <family val="2"/>
        <charset val="1"/>
      </rPr>
      <t>(1 personne = 1 unité).</t>
    </r>
  </si>
  <si>
    <r>
      <rPr>
        <sz val="10"/>
        <rFont val="Arial"/>
        <family val="2"/>
      </rPr>
      <t xml:space="preserve">* les </t>
    </r>
    <r>
      <rPr>
        <b/>
        <sz val="10"/>
        <rFont val="Arial"/>
        <family val="2"/>
        <charset val="1"/>
      </rPr>
      <t>agents contractuels</t>
    </r>
  </si>
  <si>
    <r>
      <t xml:space="preserve">* </t>
    </r>
    <r>
      <rPr>
        <sz val="10"/>
        <rFont val="Arial"/>
        <family val="2"/>
      </rPr>
      <t>par</t>
    </r>
    <r>
      <rPr>
        <b/>
        <sz val="10"/>
        <rFont val="Arial"/>
        <family val="2"/>
        <charset val="1"/>
      </rPr>
      <t xml:space="preserve"> statut </t>
    </r>
    <r>
      <rPr>
        <sz val="10"/>
        <rFont val="Arial"/>
        <family val="2"/>
      </rPr>
      <t>et</t>
    </r>
    <r>
      <rPr>
        <b/>
        <sz val="10"/>
        <rFont val="Arial"/>
        <family val="2"/>
        <charset val="1"/>
      </rPr>
      <t xml:space="preserve"> fonction publique d'origine </t>
    </r>
    <r>
      <rPr>
        <sz val="10"/>
        <rFont val="Arial"/>
        <family val="2"/>
      </rPr>
      <t xml:space="preserve">pour les fonctionnaires  : </t>
    </r>
  </si>
  <si>
    <r>
      <t xml:space="preserve"> - tableau 1 : </t>
    </r>
    <r>
      <rPr>
        <b/>
        <sz val="10"/>
        <rFont val="Arial"/>
        <family val="2"/>
        <charset val="1"/>
      </rPr>
      <t>fonctionnaires</t>
    </r>
    <r>
      <rPr>
        <sz val="10"/>
        <rFont val="Arial"/>
        <family val="2"/>
      </rPr>
      <t xml:space="preserve"> de la </t>
    </r>
    <r>
      <rPr>
        <b/>
        <sz val="10"/>
        <rFont val="Arial"/>
        <family val="2"/>
        <charset val="1"/>
      </rPr>
      <t>fonction publique territoriale</t>
    </r>
    <r>
      <rPr>
        <sz val="10"/>
        <rFont val="Arial"/>
        <family val="2"/>
      </rPr>
      <t xml:space="preserve"> </t>
    </r>
  </si>
  <si>
    <r>
      <t xml:space="preserve"> - tableau 2 : </t>
    </r>
    <r>
      <rPr>
        <b/>
        <sz val="10"/>
        <rFont val="Arial"/>
        <family val="2"/>
        <charset val="1"/>
      </rPr>
      <t>fonctionnaires</t>
    </r>
    <r>
      <rPr>
        <sz val="10"/>
        <rFont val="Arial"/>
        <family val="2"/>
      </rPr>
      <t xml:space="preserve"> issus d'une </t>
    </r>
    <r>
      <rPr>
        <b/>
        <sz val="10"/>
        <rFont val="Arial"/>
        <family val="2"/>
        <charset val="1"/>
      </rPr>
      <t xml:space="preserve">autre administration </t>
    </r>
    <r>
      <rPr>
        <sz val="10"/>
        <rFont val="Arial"/>
        <family val="2"/>
      </rPr>
      <t xml:space="preserve">(FPE, FPH) </t>
    </r>
  </si>
  <si>
    <r>
      <rPr>
        <sz val="10"/>
        <rFont val="Arial"/>
        <family val="2"/>
      </rPr>
      <t xml:space="preserve"> - tableau 3 : </t>
    </r>
    <r>
      <rPr>
        <b/>
        <sz val="10"/>
        <rFont val="Arial"/>
        <family val="2"/>
        <charset val="1"/>
      </rPr>
      <t>contractuels sur emplois permanents</t>
    </r>
  </si>
  <si>
    <r>
      <rPr>
        <sz val="10"/>
        <rFont val="Arial"/>
        <family val="2"/>
      </rPr>
      <t>* par</t>
    </r>
    <r>
      <rPr>
        <b/>
        <sz val="10"/>
        <rFont val="Arial"/>
        <family val="2"/>
        <charset val="1"/>
      </rPr>
      <t xml:space="preserve"> emplois fonctionnels</t>
    </r>
    <r>
      <rPr>
        <sz val="10"/>
        <rFont val="Arial"/>
        <family val="2"/>
      </rPr>
      <t xml:space="preserve"> dans les filières concernées (administratives, techniques et d'incendie et secours ; en lignes)</t>
    </r>
  </si>
  <si>
    <r>
      <t xml:space="preserve">* </t>
    </r>
    <r>
      <rPr>
        <sz val="10"/>
        <rFont val="Arial"/>
        <family val="2"/>
      </rPr>
      <t>par</t>
    </r>
    <r>
      <rPr>
        <b/>
        <sz val="10"/>
        <rFont val="Arial"/>
        <family val="2"/>
        <charset val="1"/>
      </rPr>
      <t xml:space="preserve"> cadre d'emplois</t>
    </r>
    <r>
      <rPr>
        <sz val="10"/>
        <rFont val="Arial"/>
        <family val="2"/>
      </rPr>
      <t xml:space="preserve"> </t>
    </r>
  </si>
  <si>
    <t>IND 1.5.7</t>
  </si>
  <si>
    <r>
      <t xml:space="preserve">Hommes </t>
    </r>
    <r>
      <rPr>
        <sz val="9"/>
        <rFont val="Arial"/>
        <family val="2"/>
      </rPr>
      <t>1.5.6(1)</t>
    </r>
  </si>
  <si>
    <r>
      <t xml:space="preserve">Femmes </t>
    </r>
    <r>
      <rPr>
        <sz val="9"/>
        <rFont val="Arial"/>
        <family val="2"/>
      </rPr>
      <t>1.5.6(2)</t>
    </r>
  </si>
  <si>
    <r>
      <t xml:space="preserve">Hommes </t>
    </r>
    <r>
      <rPr>
        <sz val="9"/>
        <rFont val="Arial"/>
        <family val="2"/>
      </rPr>
      <t>1.5.6(3)</t>
    </r>
  </si>
  <si>
    <r>
      <t xml:space="preserve">Femmes </t>
    </r>
    <r>
      <rPr>
        <sz val="9"/>
        <rFont val="Arial"/>
        <family val="2"/>
      </rPr>
      <t>1.5.6(4)</t>
    </r>
  </si>
  <si>
    <r>
      <t xml:space="preserve">Hommes </t>
    </r>
    <r>
      <rPr>
        <sz val="9"/>
        <rFont val="Arial"/>
        <family val="2"/>
      </rPr>
      <t>1.5.6(5)</t>
    </r>
  </si>
  <si>
    <r>
      <t>Femmes</t>
    </r>
    <r>
      <rPr>
        <sz val="9"/>
        <rFont val="Arial"/>
        <family val="2"/>
      </rPr>
      <t xml:space="preserve"> 1.5.6(6)</t>
    </r>
  </si>
  <si>
    <t>Fiche 1.6.1 - 1.6.2 -  Bénéficiaires de l'obligation d'emploi (travailleurs en situation de handicap)</t>
  </si>
  <si>
    <t>1.3.1  - Autres contractuels sur emploi non permanent, en effectif physique et en ETPR, selon le sexe</t>
  </si>
  <si>
    <t xml:space="preserve">  - IND 1.3.1 - Autres contractuels sur emploi non permanent, en effectif physique et en ETPR, selon le sexe</t>
  </si>
  <si>
    <t>- Agent contractuel nommé stagiaire au sein de la collectivité au cours de l'année</t>
  </si>
  <si>
    <r>
      <t>Ne pas remplir</t>
    </r>
    <r>
      <rPr>
        <sz val="10"/>
        <color indexed="8"/>
        <rFont val="Arial"/>
        <family val="2"/>
      </rPr>
      <t xml:space="preserve"> les </t>
    </r>
    <r>
      <rPr>
        <b/>
        <sz val="10"/>
        <color indexed="8"/>
        <rFont val="Arial"/>
        <family val="2"/>
      </rPr>
      <t xml:space="preserve">cellules grisées </t>
    </r>
    <r>
      <rPr>
        <sz val="10"/>
        <color indexed="8"/>
        <rFont val="Arial"/>
        <family val="2"/>
      </rPr>
      <t>(pré remplies par un zéro)</t>
    </r>
    <r>
      <rPr>
        <b/>
        <sz val="10"/>
        <color indexed="8"/>
        <rFont val="Arial"/>
        <family val="2"/>
      </rPr>
      <t xml:space="preserve"> </t>
    </r>
    <r>
      <rPr>
        <sz val="10"/>
        <color indexed="8"/>
        <rFont val="Arial"/>
        <family val="2"/>
      </rPr>
      <t>qui font l’objet de</t>
    </r>
    <r>
      <rPr>
        <b/>
        <sz val="10"/>
        <color indexed="8"/>
        <rFont val="Arial"/>
        <family val="2"/>
      </rPr>
      <t xml:space="preserve"> calculs automatiques.</t>
    </r>
  </si>
  <si>
    <r>
      <t>* les</t>
    </r>
    <r>
      <rPr>
        <b/>
        <sz val="10"/>
        <color indexed="8"/>
        <rFont val="Arial"/>
        <family val="2"/>
      </rPr>
      <t xml:space="preserve"> fonctionnaires </t>
    </r>
    <r>
      <rPr>
        <b/>
        <sz val="10"/>
        <rFont val="Arial"/>
        <family val="2"/>
      </rPr>
      <t/>
    </r>
  </si>
  <si>
    <r>
      <t>* et les</t>
    </r>
    <r>
      <rPr>
        <b/>
        <sz val="10"/>
        <color indexed="8"/>
        <rFont val="Arial"/>
        <family val="2"/>
      </rPr>
      <t xml:space="preserve"> contractuels occupant un emploi permanent </t>
    </r>
    <r>
      <rPr>
        <sz val="10"/>
        <color indexed="8"/>
        <rFont val="Arial"/>
        <family val="2"/>
      </rPr>
      <t>(cf. fiche 1.2.1.)</t>
    </r>
  </si>
  <si>
    <t xml:space="preserve">* pour ce qui correspond au dernier mouvement de l'année </t>
  </si>
  <si>
    <r>
      <t>Remarque :</t>
    </r>
    <r>
      <rPr>
        <i/>
        <sz val="10"/>
        <color indexed="8"/>
        <rFont val="Arial"/>
        <family val="2"/>
      </rPr>
      <t xml:space="preserve"> Les </t>
    </r>
    <r>
      <rPr>
        <b/>
        <i/>
        <sz val="10"/>
        <color indexed="8"/>
        <rFont val="Arial"/>
        <family val="2"/>
      </rPr>
      <t>agents contractuels</t>
    </r>
    <r>
      <rPr>
        <i/>
        <sz val="10"/>
        <color indexed="8"/>
        <rFont val="Arial"/>
        <family val="2"/>
      </rPr>
      <t xml:space="preserve"> qui ont </t>
    </r>
    <r>
      <rPr>
        <b/>
        <i/>
        <sz val="10"/>
        <color indexed="8"/>
        <rFont val="Arial"/>
        <family val="2"/>
      </rPr>
      <t>cumulé des contrats</t>
    </r>
    <r>
      <rPr>
        <i/>
        <sz val="10"/>
        <color indexed="8"/>
        <rFont val="Arial"/>
        <family val="2"/>
      </rPr>
      <t xml:space="preserve"> avec des périodes fréquentes d'interruption</t>
    </r>
    <r>
      <rPr>
        <i/>
        <u/>
        <sz val="10"/>
        <color indexed="8"/>
        <rFont val="Arial"/>
        <family val="2"/>
      </rPr>
      <t xml:space="preserve"> ne doivent être comptés qu'une fois</t>
    </r>
    <r>
      <rPr>
        <i/>
        <sz val="10"/>
        <color indexed="8"/>
        <rFont val="Arial"/>
        <family val="2"/>
      </rPr>
      <t>.</t>
    </r>
  </si>
  <si>
    <r>
      <t xml:space="preserve">* par </t>
    </r>
    <r>
      <rPr>
        <b/>
        <sz val="10"/>
        <color indexed="8"/>
        <rFont val="Arial"/>
        <family val="2"/>
      </rPr>
      <t>statut :</t>
    </r>
    <r>
      <rPr>
        <b/>
        <sz val="10"/>
        <rFont val="Arial"/>
        <family val="2"/>
      </rPr>
      <t/>
    </r>
  </si>
  <si>
    <r>
      <rPr>
        <sz val="10"/>
        <rFont val="Arial"/>
        <family val="2"/>
      </rPr>
      <t xml:space="preserve">Article 11 du décret n° 2008-512 du 29 mai 2008 relatif à la formation statutaire obligatoire des fonctionnaires territoriaux : La formation de professionnalisation prévue au b) du 1° de l’article 1er de la loi du 12 juillet 1984 susvisée est dispensée aux fonctionnaires de toutes catégories pour permettre leur adaptation à l’emploi et le maintien à niveau de leurs compétences.
Elle comprend :
1° La formation de professionnalisation au premier emploi ;
2° La formation de professionnalisation tout au long de la carrière ;
3° La formation de professionnalisation suivie à la suite de l’affectation sur un poste à responsabilité.
Le contenu de ces formations est adapté aux emplois que les membres des cadres d’emplois ont vocation à occuper compte tenu des missions définies par leurs statuts particuliers.
Les obligations de formation définies au présent article ne s’appliquent pas aux membres du cadre d’emplois des médecins territoriaux, à l’exception de celles mentionnées au 3°.
</t>
    </r>
  </si>
  <si>
    <r>
      <t xml:space="preserve">Nombre total de contractuels occupant un emploi permanent ayant participé à un ou plusieurs types de formation dans l'année
</t>
    </r>
    <r>
      <rPr>
        <i/>
        <sz val="9"/>
        <rFont val="Arial"/>
        <family val="2"/>
      </rPr>
      <t>ex : 1 agent a suivi 2 types de formations, il est comptabilisé dans chaque type de formation</t>
    </r>
  </si>
  <si>
    <t>Adjoint territorial du patrimoine principal de 2ème classe stagiaire</t>
  </si>
  <si>
    <t>SCJ3</t>
  </si>
  <si>
    <t>Démarche de prévention des risques cancérogènes, mutagènes, toxiques pour la reproduction (CMR) ?</t>
  </si>
  <si>
    <t>D'autres démarches de prévention des risques ?</t>
  </si>
  <si>
    <t>Nombre de jours d'arrêts de travail</t>
  </si>
  <si>
    <t>Assistants qualifiés de conservation du patrimoine et des bibliothèques</t>
  </si>
  <si>
    <t>Sanctions du 1er groupe :</t>
  </si>
  <si>
    <t>Exclusion temporaire de fonctions pour une durée maximale de 3 jours</t>
  </si>
  <si>
    <t>Abaissement d'échelon</t>
  </si>
  <si>
    <t>Chefs de service de police municipale</t>
  </si>
  <si>
    <t>Agents de police municipale</t>
  </si>
  <si>
    <t>Gardes-champêtres</t>
  </si>
  <si>
    <t>FILIERE INCENDIE ET SECOURS</t>
  </si>
  <si>
    <t>Technicien principal de 2ème classe stagiaire</t>
  </si>
  <si>
    <t>STT2</t>
  </si>
  <si>
    <t xml:space="preserve">Technicien </t>
  </si>
  <si>
    <t>TTT1</t>
  </si>
  <si>
    <t>Technicien stagiaire</t>
  </si>
  <si>
    <t>STT1</t>
  </si>
  <si>
    <t xml:space="preserve">TECHNICIENS </t>
  </si>
  <si>
    <t>TT</t>
  </si>
  <si>
    <t>Agent de maîtrise principal</t>
  </si>
  <si>
    <t>TTM2</t>
  </si>
  <si>
    <t>Agent de maîtrise</t>
  </si>
  <si>
    <t>TTM1</t>
  </si>
  <si>
    <t>Agent de maîtrise stagiaire</t>
  </si>
  <si>
    <t>STM1</t>
  </si>
  <si>
    <t>AGENTS DE MAITRISE</t>
  </si>
  <si>
    <t>TM</t>
  </si>
  <si>
    <t>Adjoint technique principal de 1ère classe</t>
  </si>
  <si>
    <t>Contrôleur général</t>
  </si>
  <si>
    <t xml:space="preserve">  - IND 2.2.3 - Compte épargne-temps</t>
  </si>
  <si>
    <t xml:space="preserve">  - IND 2.2.4 - Télétravail</t>
  </si>
  <si>
    <t xml:space="preserve">Participation financière aux contrats et règlements de protection sociale complémentaire de vos agents   </t>
  </si>
  <si>
    <t>Lieutenant-colonel</t>
  </si>
  <si>
    <t>TRC3</t>
  </si>
  <si>
    <t>Commandant</t>
  </si>
  <si>
    <t>TRC2</t>
  </si>
  <si>
    <t>Capitaine</t>
  </si>
  <si>
    <t>TRC1</t>
  </si>
  <si>
    <t>RC</t>
  </si>
  <si>
    <t>Médecin et pharmacien de classe exceptionnelle</t>
  </si>
  <si>
    <t>TRD4</t>
  </si>
  <si>
    <t>Médecin et pharmacien hors classe</t>
  </si>
  <si>
    <t>TRD3</t>
  </si>
  <si>
    <t>TRD2</t>
  </si>
  <si>
    <t>MEDECINS, PHARMACIENS</t>
  </si>
  <si>
    <t>RD</t>
  </si>
  <si>
    <t xml:space="preserve">  - IND 3.4.2 - Indemnisation du chômage pour les contractuels</t>
  </si>
  <si>
    <t xml:space="preserve"> 3.4.1 - Indemnisation du chômage pour les titulaires (auto-assurance)</t>
  </si>
  <si>
    <t>X</t>
  </si>
  <si>
    <t>Caporal stagiaire</t>
  </si>
  <si>
    <t>Cadres de santé paramédicaux</t>
  </si>
  <si>
    <t>Cadres de santé</t>
  </si>
  <si>
    <t>INFIRMIERS DES SAPEURS POMPIERS PROFESSIONNELS</t>
  </si>
  <si>
    <t>1.2.1(15)</t>
  </si>
  <si>
    <t>1.2.1(16)</t>
  </si>
  <si>
    <t>1.2.1(17)</t>
  </si>
  <si>
    <t>4.1.4  - Document unique d'évaluation des risques professionnels (DUERP)</t>
  </si>
  <si>
    <t>4.1.5 - Plan de prévention des risques psychosociaux (RPS)</t>
  </si>
  <si>
    <t>4.1.6  - Démarches de prévention des risques</t>
  </si>
  <si>
    <t>4.1.7  - Registre de santé et de sécurité au travail</t>
  </si>
  <si>
    <t>5.1.1-5.1.4 - Formation</t>
  </si>
  <si>
    <t>5.1.1 et 5.1.2 – Comment sont décomptées les journées de formation suivies par un agent ?</t>
  </si>
  <si>
    <t xml:space="preserve">Heures de décharges d'activité de service : </t>
  </si>
  <si>
    <t xml:space="preserve">      - auxquelles ont droit les organisations syndicales</t>
  </si>
  <si>
    <t xml:space="preserve">      - effectivement utilisées</t>
  </si>
  <si>
    <t>Cet indicateur reprend les informations par ailleurs disponibles dans différents indicateurs du bilan social. Il a pour but de calculer automatiquement les écarts de salaire entre hommes et femmes et n’est pas exporté dans le fichier transmis à la DGCL.</t>
  </si>
  <si>
    <t xml:space="preserve">2.2.1 - Modalités d'organisation du temps de travail </t>
  </si>
  <si>
    <t xml:space="preserve">Hommes </t>
  </si>
  <si>
    <t>Total tous types de cycles</t>
  </si>
  <si>
    <t>Contractuels</t>
  </si>
  <si>
    <t>Indicateur 3.3.1.</t>
  </si>
  <si>
    <t>* total des rémunérations brutes versées au cours de l’année (hors charges patronales)</t>
  </si>
  <si>
    <r>
      <t xml:space="preserve">Pour les </t>
    </r>
    <r>
      <rPr>
        <b/>
        <u/>
        <sz val="9"/>
        <rFont val="Arial"/>
        <family val="2"/>
      </rPr>
      <t>collectivités de 50 agents ou plus</t>
    </r>
    <r>
      <rPr>
        <b/>
        <sz val="9"/>
        <rFont val="Arial"/>
        <family val="2"/>
      </rPr>
      <t>, uniquement :</t>
    </r>
  </si>
  <si>
    <r>
      <t xml:space="preserve">Pour les </t>
    </r>
    <r>
      <rPr>
        <b/>
        <u/>
        <sz val="9"/>
        <rFont val="Arial"/>
        <family val="2"/>
      </rPr>
      <t>centres de gestion</t>
    </r>
    <r>
      <rPr>
        <b/>
        <sz val="9"/>
        <rFont val="Arial"/>
        <family val="2"/>
      </rPr>
      <t>, uniquement :</t>
    </r>
  </si>
  <si>
    <t>7.1.4 - Protection sociale complémentaire</t>
  </si>
  <si>
    <t>6.1.4 - Nombre de sanctions disciplinaires prononcées dans l'année</t>
  </si>
  <si>
    <t>Avertissement</t>
  </si>
  <si>
    <t>Blâme</t>
  </si>
  <si>
    <t>Quels sont les personnels à prendre en compte à l’indicateur 3.3.1 ?</t>
  </si>
  <si>
    <t>Pour les agents involontairement privés d'emploi, la collectivité peut choisir un des deux systèmes suivants :</t>
  </si>
  <si>
    <r>
      <t xml:space="preserve">
</t>
    </r>
    <r>
      <rPr>
        <b/>
        <sz val="9"/>
        <rFont val="Arial"/>
        <family val="2"/>
      </rPr>
      <t>17 H 30</t>
    </r>
  </si>
  <si>
    <t xml:space="preserve">moins de </t>
  </si>
  <si>
    <t>ou plus</t>
  </si>
  <si>
    <t>1.1.1(1)</t>
  </si>
  <si>
    <t>22</t>
  </si>
  <si>
    <t>1B</t>
  </si>
  <si>
    <t>1H</t>
  </si>
  <si>
    <t>Année de la dernière mise à jour</t>
  </si>
  <si>
    <t>Nombre total de journées de formation dispensées au cours de l'année par</t>
  </si>
  <si>
    <t>TOTAL Tous types</t>
  </si>
  <si>
    <t>Cadres d'emplois - Filière</t>
  </si>
  <si>
    <t>Unités déductibles **</t>
  </si>
  <si>
    <t>IND 1.7.1</t>
  </si>
  <si>
    <t>2 - TEMPS DE TRAVAIL</t>
  </si>
  <si>
    <t>IND 2.1.1</t>
  </si>
  <si>
    <t>IND 2.1.2</t>
  </si>
  <si>
    <t>IND 2.1.3</t>
  </si>
  <si>
    <t>IND 2.2.1-2.2.4</t>
  </si>
  <si>
    <t xml:space="preserve">  - IND 2.2.2 - Contraintes particulières concernant le temps de travail</t>
  </si>
  <si>
    <r>
      <rPr>
        <u/>
        <sz val="10"/>
        <rFont val="Arial"/>
        <family val="2"/>
      </rPr>
      <t>Tableau 3</t>
    </r>
    <r>
      <rPr>
        <sz val="10"/>
        <rFont val="Arial"/>
        <family val="2"/>
      </rPr>
      <t xml:space="preserve"> : Contractuels sur emploi permanent</t>
    </r>
  </si>
  <si>
    <r>
      <t xml:space="preserve">Y a-t-il, parmi les agents de votre collectivité, des agents bénéficiant de l'obligation d'emploi - </t>
    </r>
    <r>
      <rPr>
        <b/>
        <sz val="10"/>
        <rFont val="Arial"/>
        <family val="2"/>
      </rPr>
      <t>travailleurs handicapés</t>
    </r>
    <r>
      <rPr>
        <sz val="10"/>
        <rFont val="Arial"/>
        <family val="2"/>
      </rPr>
      <t xml:space="preserve"> (BOETH), y compris reclassés ?</t>
    </r>
  </si>
  <si>
    <r>
      <t xml:space="preserve">Dépenses réalisées par l'employeur pour </t>
    </r>
    <r>
      <rPr>
        <b/>
        <sz val="10"/>
        <rFont val="Arial"/>
        <family val="2"/>
      </rPr>
      <t>accueillir ou maintenir</t>
    </r>
    <r>
      <rPr>
        <sz val="10"/>
        <rFont val="Arial"/>
        <family val="2"/>
      </rPr>
      <t xml:space="preserve"> dans l'emploi des personnes lourdement handicapées</t>
    </r>
  </si>
  <si>
    <r>
      <t xml:space="preserve">- les sanctions prononcées  à l'encontre des </t>
    </r>
    <r>
      <rPr>
        <b/>
        <sz val="10"/>
        <rFont val="Arial"/>
        <family val="2"/>
      </rPr>
      <t>fonctionnaires stagiaires</t>
    </r>
    <r>
      <rPr>
        <sz val="10"/>
        <rFont val="Arial"/>
        <family val="2"/>
      </rPr>
      <t xml:space="preserve"> en application de l'article 6 du décret n° 92-1194 du 4 novembre 1992 (5 sanctions possibles : avertissement, blâme, exclusion temporaire de fonctions pour une durée maximale de 3 jours, exclusion temporaire de fonctions pour une durée de 4 à 15 jours ou licenciement) </t>
    </r>
  </si>
  <si>
    <r>
      <t xml:space="preserve">- les sanctions prononcées à l'encontre des </t>
    </r>
    <r>
      <rPr>
        <b/>
        <sz val="10"/>
        <rFont val="Arial"/>
        <family val="2"/>
      </rPr>
      <t>agents contractuels</t>
    </r>
    <r>
      <rPr>
        <sz val="10"/>
        <rFont val="Arial"/>
        <family val="2"/>
      </rPr>
      <t xml:space="preserve"> en application de l'article 36-1 du décret n° 88-145 du 15 février 1988 (4 sanctions possibles : avertissement, blâme, exclusion temporaire de fonctions ou licenciement)</t>
    </r>
  </si>
  <si>
    <r>
      <t xml:space="preserve">* Comment recenser les motifs de sanctions </t>
    </r>
    <r>
      <rPr>
        <sz val="10"/>
        <rFont val="Arial"/>
        <family val="2"/>
      </rPr>
      <t>(dernier tableau)</t>
    </r>
    <r>
      <rPr>
        <b/>
        <sz val="10"/>
        <rFont val="Arial"/>
        <family val="2"/>
        <charset val="1"/>
      </rPr>
      <t xml:space="preserve">? </t>
    </r>
  </si>
  <si>
    <r>
      <rPr>
        <sz val="10"/>
        <rFont val="Arial"/>
        <family val="2"/>
      </rPr>
      <t xml:space="preserve"> - recenser les motifs ayant justifié les sanctions pour l'</t>
    </r>
    <r>
      <rPr>
        <b/>
        <sz val="10"/>
        <rFont val="Arial"/>
        <family val="2"/>
        <charset val="1"/>
      </rPr>
      <t xml:space="preserve">ensemble des agents </t>
    </r>
    <r>
      <rPr>
        <sz val="10"/>
        <rFont val="Arial"/>
        <family val="2"/>
      </rPr>
      <t xml:space="preserve">(titulaires, stagiaires et contractuels) </t>
    </r>
  </si>
  <si>
    <r>
      <rPr>
        <sz val="10"/>
        <rFont val="Arial"/>
        <family val="2"/>
      </rPr>
      <t xml:space="preserve"> - ne retenir qu'</t>
    </r>
    <r>
      <rPr>
        <b/>
        <sz val="10"/>
        <rFont val="Arial"/>
        <family val="2"/>
        <charset val="1"/>
      </rPr>
      <t>un seul motif par sanction</t>
    </r>
    <r>
      <rPr>
        <sz val="10"/>
        <rFont val="Arial"/>
        <family val="2"/>
      </rPr>
      <t xml:space="preserve"> effectivement prononcée</t>
    </r>
  </si>
  <si>
    <r>
      <rPr>
        <sz val="10"/>
        <rFont val="Arial"/>
        <family val="2"/>
      </rPr>
      <t xml:space="preserve"> - en cas de pluralité de motif, retenir le</t>
    </r>
    <r>
      <rPr>
        <b/>
        <sz val="10"/>
        <rFont val="Arial"/>
        <family val="2"/>
        <charset val="1"/>
      </rPr>
      <t xml:space="preserve"> motif principal</t>
    </r>
    <r>
      <rPr>
        <sz val="10"/>
        <rFont val="Arial"/>
        <family val="2"/>
      </rPr>
      <t xml:space="preserve"> ayant justifié la sanction disciplinaire </t>
    </r>
  </si>
  <si>
    <t>7.1.1 - 7.1.4 Action sociale relevant de la collectivité et protection sociale complémentaire</t>
  </si>
  <si>
    <r>
      <rPr>
        <b/>
        <sz val="10"/>
        <rFont val="Arial"/>
        <family val="2"/>
        <charset val="1"/>
      </rPr>
      <t>Rappel de la règlementation sur l'action sociale</t>
    </r>
    <r>
      <rPr>
        <sz val="10"/>
        <rFont val="Arial"/>
        <family val="2"/>
      </rPr>
      <t>:</t>
    </r>
  </si>
  <si>
    <t xml:space="preserve">Il s'agit des cotisations ou subventions versées par la collectivité aux organismes chargés la mise en œuvre de l'action sociale pour le compte de la collectivité, qu'il soit locaux (propre à la collectivité) ou non. </t>
  </si>
  <si>
    <t>Répondre uniquement par oui (1) si des prestations sont servies directement par la collectivité et par non (0) dans le cas contraire.</t>
  </si>
  <si>
    <r>
      <t>*</t>
    </r>
    <r>
      <rPr>
        <i/>
        <u/>
        <sz val="10"/>
        <rFont val="Arial"/>
        <family val="2"/>
        <charset val="1"/>
      </rPr>
      <t xml:space="preserve"> formation personnelle</t>
    </r>
    <r>
      <rPr>
        <i/>
        <sz val="10"/>
        <rFont val="Arial"/>
        <family val="2"/>
        <charset val="1"/>
      </rPr>
      <t xml:space="preserve"> </t>
    </r>
    <r>
      <rPr>
        <sz val="10"/>
        <rFont val="Arial"/>
        <family val="2"/>
      </rPr>
      <t>: ne prendre en compte que les </t>
    </r>
    <r>
      <rPr>
        <b/>
        <sz val="10"/>
        <rFont val="Arial"/>
        <family val="2"/>
        <charset val="1"/>
      </rPr>
      <t>journées de formation</t>
    </r>
    <r>
      <rPr>
        <sz val="10"/>
        <rFont val="Arial"/>
        <family val="2"/>
      </rPr>
      <t xml:space="preserve"> prises au moyen de la </t>
    </r>
    <r>
      <rPr>
        <b/>
        <sz val="10"/>
        <rFont val="Arial"/>
        <family val="2"/>
        <charset val="1"/>
      </rPr>
      <t>décharge partielle de service</t>
    </r>
    <r>
      <rPr>
        <sz val="10"/>
        <rFont val="Arial"/>
        <family val="2"/>
      </rPr>
      <t xml:space="preserve"> (article 5-1 pour les titulaires et 15-1 pour les contractuels du décret n°85-1076 du 9 octobre 1985).</t>
    </r>
  </si>
  <si>
    <r>
      <rPr>
        <b/>
        <sz val="10"/>
        <rFont val="Arial"/>
        <family val="2"/>
        <charset val="1"/>
      </rPr>
      <t xml:space="preserve">* 5.1.1(1) </t>
    </r>
    <r>
      <rPr>
        <sz val="10"/>
        <rFont val="Arial"/>
        <family val="2"/>
      </rPr>
      <t>: compter les journées correspondant aux </t>
    </r>
    <r>
      <rPr>
        <b/>
        <sz val="10"/>
        <rFont val="Arial"/>
        <family val="2"/>
        <charset val="1"/>
      </rPr>
      <t>formations organisées en</t>
    </r>
    <r>
      <rPr>
        <b/>
        <sz val="10"/>
        <color indexed="21"/>
        <rFont val="Arial"/>
        <family val="2"/>
        <charset val="1"/>
      </rPr>
      <t xml:space="preserve"> </t>
    </r>
    <r>
      <rPr>
        <b/>
        <sz val="10"/>
        <color indexed="55"/>
        <rFont val="Arial"/>
        <family val="2"/>
        <charset val="1"/>
      </rPr>
      <t>inter</t>
    </r>
    <r>
      <rPr>
        <b/>
        <sz val="10"/>
        <rFont val="Arial"/>
        <family val="2"/>
        <charset val="1"/>
      </rPr>
      <t xml:space="preserve"> et prises en charge financièrement par le CNFPT </t>
    </r>
    <r>
      <rPr>
        <sz val="10"/>
        <rFont val="Arial"/>
        <family val="2"/>
      </rPr>
      <t>dans le cadre de son offre de formation</t>
    </r>
    <r>
      <rPr>
        <u/>
        <sz val="10"/>
        <rFont val="Arial"/>
        <family val="2"/>
        <charset val="1"/>
      </rPr>
      <t xml:space="preserve"> correspondant à la cotisation obligatoire</t>
    </r>
    <r>
      <rPr>
        <sz val="10"/>
        <rFont val="Arial"/>
        <family val="2"/>
      </rPr>
      <t xml:space="preserve"> versée par les collectivités et établissements publics.</t>
    </r>
  </si>
  <si>
    <r>
      <t xml:space="preserve">Accueillants familiaux </t>
    </r>
    <r>
      <rPr>
        <sz val="9"/>
        <rFont val="Arial"/>
        <family val="2"/>
      </rPr>
      <t>(Loi DALO de 2007)</t>
    </r>
  </si>
  <si>
    <r>
      <t>Agents contractuels recrutés pour faire face à un accroissement temporaire d'activité ou un accroissement saisonnier d'activité</t>
    </r>
    <r>
      <rPr>
        <sz val="9"/>
        <rFont val="Arial"/>
        <family val="2"/>
      </rPr>
      <t xml:space="preserve"> (article 3 de la loi du 26 janvier 1984)</t>
    </r>
  </si>
  <si>
    <r>
      <t xml:space="preserve">Contractuels employés par les CDG et mis à disposition des collectivités </t>
    </r>
    <r>
      <rPr>
        <sz val="9"/>
        <rFont val="Arial"/>
        <family val="2"/>
      </rPr>
      <t xml:space="preserve">( A renseigner </t>
    </r>
    <r>
      <rPr>
        <u/>
        <sz val="9"/>
        <rFont val="Arial"/>
        <family val="2"/>
      </rPr>
      <t>uniquement par les CDG</t>
    </r>
    <r>
      <rPr>
        <sz val="9"/>
        <rFont val="Arial"/>
        <family val="2"/>
      </rPr>
      <t xml:space="preserve"> )</t>
    </r>
  </si>
  <si>
    <r>
      <t xml:space="preserve">Vacataires </t>
    </r>
    <r>
      <rPr>
        <sz val="9"/>
        <rFont val="Arial"/>
        <family val="2"/>
      </rPr>
      <t>(hors jury de concours)</t>
    </r>
  </si>
  <si>
    <r>
      <t>Autres</t>
    </r>
    <r>
      <rPr>
        <sz val="9"/>
        <rFont val="Arial"/>
        <family val="2"/>
      </rPr>
      <t xml:space="preserve"> (agents non classables dans les catégories précédentes)</t>
    </r>
  </si>
  <si>
    <t>Le compte épargne-temps a été institué par le décret n°2004-878 du 26 août 2004. Il permet aux agents occupant un emploi permanent (titulaires ou non, à temps complet ou non) d'accumuler des droits à congés rémunérés. Il est ouvert à la demande de l'agent et est de droit dès lors que l'agent en fait la demande écrite.</t>
  </si>
  <si>
    <t>L'agent titulaire d'un compte peut épargner le nombre de jours souhaité à condition que le nombre de jours de congés pris dans l'année ne soit pas inférieur à 20.</t>
  </si>
  <si>
    <t>Précision :</t>
  </si>
  <si>
    <t>Modalités d'organisation du temps de travail</t>
  </si>
  <si>
    <r>
      <t>- les sanctions prononcées à l'encontre des</t>
    </r>
    <r>
      <rPr>
        <b/>
        <sz val="10"/>
        <rFont val="Arial"/>
        <family val="2"/>
      </rPr>
      <t xml:space="preserve"> fonctionnaires titulaires </t>
    </r>
    <r>
      <rPr>
        <sz val="10"/>
        <rFont val="Arial"/>
        <family val="2"/>
      </rPr>
      <t>en application de l'article 89 de la loi du 26 janvier 1984 (10 sanctions possibles ventilées en 4 groupes)</t>
    </r>
  </si>
  <si>
    <r>
      <t xml:space="preserve">Remarque : </t>
    </r>
    <r>
      <rPr>
        <i/>
        <sz val="9"/>
        <rFont val="Arial"/>
        <family val="2"/>
      </rPr>
      <t xml:space="preserve">prendre en compte uniquement le </t>
    </r>
    <r>
      <rPr>
        <i/>
        <u/>
        <sz val="9"/>
        <rFont val="Arial"/>
        <family val="2"/>
      </rPr>
      <t>dernier mouvement de l'année</t>
    </r>
    <r>
      <rPr>
        <i/>
        <sz val="9"/>
        <rFont val="Arial"/>
        <family val="2"/>
      </rPr>
      <t>. Les agents contractuels qui ont cumulé des contrats avec des périodes fréquentes d'interruption ne doivent être comptés qu'une fois.</t>
    </r>
  </si>
  <si>
    <t>Des prestations d'actions sociales sont attribuées au personnel des collectivités territoriales sur décision de leur assemblée délibérante (art 88-1 de la loi du 26 janvier 1984). Ces prestations sociales sont destinées à améliorer les conditions de vie des agents et de leurs familles (notamment en les aidant à faire face à diverses situations difficiles et en facilitant leur accès à des services collectifs). Elles sont prévues à l'article 9 de la loi du 13 juillet 1983 et sont distinctes de la rémunération des agents.</t>
  </si>
  <si>
    <t>hrg_2019.xlsm</t>
  </si>
  <si>
    <t>modele_DGCL_2019.xlsm</t>
  </si>
  <si>
    <t>Femme</t>
  </si>
  <si>
    <t>Entre 4 et 6 ans</t>
  </si>
  <si>
    <t>Entre 7 et 12 ans</t>
  </si>
  <si>
    <t>Plus de 12 ans</t>
  </si>
  <si>
    <t>Homme</t>
  </si>
  <si>
    <t>Fiche 1.1.0 - Nombre d'agents occupant un emploi fonctionnel rémunérés au 31/12/2020, par statut, cadre d'emplois, sexe et grade de détachement</t>
  </si>
  <si>
    <t xml:space="preserve">  - IND 1.1.0 - Nombre d'agents occupant un emploi fonctionnel rémunérés au 31/12/2020, par statut d'origine, cadre d'emplois, sexe et grade de détachement</t>
  </si>
  <si>
    <t>Fiche 1.1.1 - Nombre de fonctionnaires occupant un emploi permanent rémunérés au 31/12/2020 par filière, cadre d'emplois et grade,
                   selon les caractéristiques de l'emploi et selon le sexe</t>
  </si>
  <si>
    <t xml:space="preserve">  - IND 1.1.1 - Nombre de fonctionnaires occupant un emploi permanent rémunérés au 31/12/2020  par filière, cadre d'emploi et grade, selon les caractéristiques de l'emploi
                    et selon le sexe</t>
  </si>
  <si>
    <t>Fiche 1.1.2 - Nombre de fonctionnaires occupant un emploi permanent à temps complet rémunérés au 31/12/2020 par filière, 
                   cadre d'emplois et selon la quotité de temps de travail et le sexe</t>
  </si>
  <si>
    <t xml:space="preserve">  - IND 1.1.2  - Nombre de fonctionnaires occupant un emploi permanent à temps complet rémunérés au 31/12/2020 par filière,
                     cadre d'emplois et selon la quotité de temps de travail et le sexe </t>
  </si>
  <si>
    <t xml:space="preserve">Fiche 1.2.1 - Effectifs des agents contractuels occupant un emploi permanent rémunérés au 31/12/2020 par filière et cadre d'emplois, selon le type de contrat,
                   le type de recrutement </t>
  </si>
  <si>
    <t xml:space="preserve">   - IND 1.2.1 - Effectifs des agents contractuels occupant un emploi permanent rémunérés au 31/12/2020 par filière et cadre d'emplois, selon le type de contrat et
                     le type de recrutement</t>
  </si>
  <si>
    <t>Fiche 1.2.2 - Nombre d'agents contractuels rémunérés au 31/12/2020 occupant un emploi permanent à temps complet
                    par filières, cadre d'emplois, selon la quotité de travail et le sexe</t>
  </si>
  <si>
    <t xml:space="preserve">  - IND 1.2.2 - Nombre d'agents contractuels rémunérés au 31/12/2020 occupant un emploi permanent à temps complet
                    par filières et cadres d'emplois, selon la quotité de temps de travail et le sexe</t>
  </si>
  <si>
    <t>Fiche 1.2.3 - Nombre d'agents contractuels bénéficiaires d'un temps partiel de droit ou sur autorisation rémunérés au 31/12/2020, par catégorie et sexe</t>
  </si>
  <si>
    <t xml:space="preserve">  - IND 1.2.3 - Nombre d'agents contractuels rémunérés bénéficiaires d'un temps partiel de droit ou sur autorisation rémunérés au 31/12/2020, par catégorie et sexe</t>
  </si>
  <si>
    <t>Fiche 1.4.1 - 1.4.4 - Nombre d'agents selon les positions statutaires particulières et par sexe, au 31/12/2020</t>
  </si>
  <si>
    <t xml:space="preserve">  - IND 1.6.1 - Nombre d'agents en situation de handicap par catégorie hiérarchique, statut et sexe, rémunérés au 31/12/2020</t>
  </si>
  <si>
    <t xml:space="preserve">  - IND 1.7.1 - Répartition par sexe et tranche d'âge des effectifs des fonctionnaires et des contractuels présents dans les effectifs au 31/12/2020</t>
  </si>
  <si>
    <t xml:space="preserve">  - IND 2.1.1 - Nombre de fonctionnaires ayant été absents au moins un jour dans l'année par motif (hors formation, journées de grève et absences  syndicales), présents dans
                    les effectifs au 31/12/2020</t>
  </si>
  <si>
    <t xml:space="preserve">  - IND 2.1.2 - Nombre de contractuels sur emploi permanent ayant été absents au moins un jour dans l'année par motif (hors formation, journées de grève et absences
                    syndicales), présents au 31/12/2020 </t>
  </si>
  <si>
    <t xml:space="preserve">  - IND 2.1.3 - Nombre de contractuels sur emploi non permanent ayant été absents au moins un jour dans l'année, par motif (hors formation, journées de grève et absences
                    syndicales), présents au 31/12/2020</t>
  </si>
  <si>
    <t>1.1.0 - Nombre d'agents occupant un emploi fonctionnel rémunérés au 31/12/2020, par statut, cadre d'emplois, sexe et grade de détachement</t>
  </si>
  <si>
    <t>1.1.0 - Effectifs /Nombre d'agents occupant un emploi fonctionnel rémunérés au 31/12/2020, par statut d'origine, cadre d'emplois, sexe et grade de détachement</t>
  </si>
  <si>
    <t>Champ : les tableaux qui suivent concernent les fonctionnaires et contractuels occupant un emploi permanent fonctionnel rémunérés au 31/12/2020.</t>
  </si>
  <si>
    <t>1.1.1 - Nombre de fonctionnaires occupant un emploi permanent rémunérés au 31/12/2020 par filière, cadre d'emplois et grade, selon les caractéristiques de l'emploi et selon le sexe</t>
  </si>
  <si>
    <t>Champ : le tableau qui suit concerne les agents titulaires et stagiaires occupant un emploi permanent rémunérés au 31/12/2020.</t>
  </si>
  <si>
    <t>1.1.2 - Nombre de fonctionnaires occupant un emploi permanent à temps complet rémunérés au 31/12/2020 par filière,  cadre d'emplois et selon la quotité de temps de travail et par sexe</t>
  </si>
  <si>
    <t>1.1.2 - Nombre de fonctionnaires occupant un emploi permanent à temps complet rémunérés au 31/12/2020
par filière, cadre d'emplois selon la quotité de temps de travail et le sexe</t>
  </si>
  <si>
    <t>Champ : le tableau qui suit concerne les agents fonctionnaires occupant un emploi permanent à temps complet et exerçant à temps partiel, rémunérés au 31/12/2020.</t>
  </si>
  <si>
    <t>1.2.1 - Effectifs des agents contractuels occupant un emploi permanent rémunérés au 31/12/2020</t>
  </si>
  <si>
    <t>Les agents recensés dans les colonnes 1.2.1(1) à 1.2.1(9) sont à nouveau recensés dans les colonnes 1.2.1(12) à 1.2.1(14), tous cas de recrutement confondus, selon l'ancienneté retenue au 31/12/2020. Par conséquent, le total des colonnes 1.2.1(12) à 1.2.1(14) doit être égal à la colonne de total des colonnes 1.2.1(1) à 1.2.1(9).</t>
  </si>
  <si>
    <t xml:space="preserve">1.2.1 - Effectifs des agents contractuels occupant un emploi permanent rémunérés au 31/12/2020 par filière et cadre d'emplois, selon le type de contrat et le type de recrutement </t>
  </si>
  <si>
    <t>Champ : le tableau qui suit concerne les agents contractuels sur un emploi permanent rémunérés au 31/12/2020.</t>
  </si>
  <si>
    <t>1.2.2 - Nombre d'agents contractuels au 31/12/2020 occupant un emploi permanent à temps complet rémunérés au 31/12/2020</t>
  </si>
  <si>
    <t xml:space="preserve">1.2.2 - Nombre d'agents contractuels rémunérés au 31/12/2020 occupant un emploi permanent à temps complet   </t>
  </si>
  <si>
    <t>Champ : le tableau qui suit concerne les agents contractuels rémunérés sur un emploi permanent à temps complet, rémunérés au 31/12/2020</t>
  </si>
  <si>
    <t>1.2.3 - Nombre d'agents contractuels bénéficiaires d'un temps partiel de droit ou sur autorisation rémunérés au 31/12/2020, par catégorie et par sexe</t>
  </si>
  <si>
    <t>1.2.3 - Nombre d'agents contractuels rémunérés bénéficiaires d'un temps partiel de droit ou sur autorisation rémunérés au 31/12/2020, par catégorie et sexe</t>
  </si>
  <si>
    <t>Champ : le tableau qui suit concerne les agents contractuels sur un emploi permanent à temps complet et exerçant à temps partiel, rémunérés au 31/12/2020.</t>
  </si>
  <si>
    <t>1.4.1 - 1.4.4 - Nombre d'agents selon les positions statutaires particulières et par sexe, au 31/12/2020</t>
  </si>
  <si>
    <t>* placés dans une position particulière au 31/12/2020 :</t>
  </si>
  <si>
    <t>1.4 - Nombre d'agents selon les positions statutaires particulières et par sexe au 31/12/2020</t>
  </si>
  <si>
    <t>Champ : les tableaux qui suivent concernent les fonctionnaires et contractuels sur emploi permanent, en positions statutaires particulières au 31/12/2020.</t>
  </si>
  <si>
    <t>au 31/12/2020</t>
  </si>
  <si>
    <t>Nombre d'agents sur emploi permanent au 31/12/2020</t>
  </si>
  <si>
    <t>* rémunérés au 31/12/2020</t>
  </si>
  <si>
    <t>Champ : le tableau qui suit concerne les fonctionnaires et contractuels (sur emploi permanent ou non permanent), en situation de handicap, rémunérés au 31/12/2020</t>
  </si>
  <si>
    <t>1.7.1 - Répartition par sexe et tranche d'âge des effectifs des fonctionnaires et des contractuels présents dans les effectifs au 31/12/2020</t>
  </si>
  <si>
    <t>Champ : les tableaux qui suivent concernent les fonctionnaires titulaires et stagiaires et les contractuels occupant un emploi permanent ou un emploi non permanement, présents au 31/12/2020.</t>
  </si>
  <si>
    <t>* Age atteint au 31/12/2020</t>
  </si>
  <si>
    <t>2.1.1 - Nombre de fonctionnaires ayant été absents au moins un jour dans l'année,
par motif (hors formations, journées de grève et absences syndicales) présents dans les effectifs au 31/12/2020</t>
  </si>
  <si>
    <t>Nombre de fonctionnaires* présents dans les effectifs au 31/12/2020</t>
  </si>
  <si>
    <t>Nombre de journées d'absence des fonctionnaires présents dans les effectifs au 31/12/2020</t>
  </si>
  <si>
    <t>2.1.2 - Nombre de CONTRACTUELS SUR EMPLOI PERMANENT ayant été absents au moins un jour dans l'année, 
par motif (hors formations, journées de grève et absences syndicales) présents au 31/12/2020</t>
  </si>
  <si>
    <t>Nombre de contractuels sur emploi permanent * présents au 31/12/2020</t>
  </si>
  <si>
    <t>Nombre de journées d'absence des contractuels sur emploi permanent présents au 31/12/2020</t>
  </si>
  <si>
    <t>2.1.3 - Nombre de CONTRACTUELS SUR EMPLOI NON PERMANENT ayant été absents au moins un jour dans l'année,
 par motif (hors formations, journées de grève et absences syndicales) présents au 31/12/2020</t>
  </si>
  <si>
    <t>Nombre de contractuels sur emploi non permanent * présents au 31/12/2020</t>
  </si>
  <si>
    <t>Nombre de journées d'absence des contractuels sur emploi non permanent présents au 31/12/2020</t>
  </si>
  <si>
    <t>* et rémunérés au 31/12/2020</t>
  </si>
  <si>
    <t>- et les agents exerçant leur activité dans le cadre du télétravail au 31/12/2020</t>
  </si>
  <si>
    <t>Champ : le tableau qui suit concerne les agents sur emploi permanent, présents dans la collectivité locale au 31/12/2020.</t>
  </si>
  <si>
    <t>Nombre d'agents ayant un compte épargne temps (CET) au 31/12/2020</t>
  </si>
  <si>
    <t>Nombre total d'agents ayant un compte épargne temps (CET) au 31/12/2020</t>
  </si>
  <si>
    <t>Nombre de jours accumulés au 31/12/2020</t>
  </si>
  <si>
    <t>Champ : le tableau qui suit concerne tous les agents sur emploi permanent passés par la collectivité locale même s'ils n'y sont plus au 31/12/2020.</t>
  </si>
  <si>
    <t>Champ : le tableau qui suit concerne les agents présents dans la collectivité locale au 31/12/2020.</t>
  </si>
  <si>
    <t>Nombre d’agents exerçant leurs fonctions dans le cadre du télétravail (article 133 de la loi du 12 mars 2012) au 31/12/2020</t>
  </si>
  <si>
    <t>Votre collectivité dispose-t-elle d'une charte du temps au 31/12/2020 ?</t>
  </si>
  <si>
    <t>Commencer par indiquer si vous avez mis en place le RIFSEEP pour au moins un cadre d'emplois, au plus tard au 31/12/2020, à l'aide du menu déroulant.</t>
  </si>
  <si>
    <t>Puis indiquer si vous avez délibéré sur la mise en place d'une part CIA au plus tard au 31/12/2020, à l'aide du menu déroulant.</t>
  </si>
  <si>
    <t>Commencer par indiquer si vous avez mis en place le  RIFSEEP pour les contractuels au plus tard au 31/12/2020, à l'aide du menu déroulant.</t>
  </si>
  <si>
    <t xml:space="preserve">3.1.1.0 - Agents fonctionnaires - Au 31/12/2020, avez-vous mis en place le RIFSEEP pour au moins un cadre d'emplois ? </t>
  </si>
  <si>
    <t xml:space="preserve">3.2.1.0 - Agents contractuels - Au 31/12/2020, avez-vous mis en place le RIFSEEP ? </t>
  </si>
  <si>
    <t>Champ : le tableau qui suit concerne les fonctionnaires et contractuels sur emploi permanent, présents au 31/12/2020.</t>
  </si>
  <si>
    <t xml:space="preserve">Effectif au 31/12/2020 des agents de la collectivité      </t>
  </si>
  <si>
    <t>Champ : les tableaux qui suivent concernent les fonctionnaires et contractuels sur emploi permanent, présents au 31/12/2020</t>
  </si>
  <si>
    <t>Votre collectivité dispose-t-elle d'un document unique d'évaluation des risques professionnels, au 31/12/2020 ?</t>
  </si>
  <si>
    <t>Votre collectivité dispose-t-elle d'un plan de prévention des risques psychosociaux au 31/12/2020 ?</t>
  </si>
  <si>
    <t>Votre collectivité dispose-t-elle d'un registre de santé et de sécurité au travail, au 31/12/2020 ?</t>
  </si>
  <si>
    <t>Le but est de connaître pour chaque type de formation et par catégorie hiérarchique au 31/12/2020, le nombre d’agents qui ont été concernés au cours de l’année. Pour chaque catégorie, comptabiliser le nombre d’agents partis au moins une fois par type de formation (et non le nombre de départs). Un même agent ayant participé à plusieurs types de formation sera comptabilisé une fois pour chaque type.</t>
  </si>
  <si>
    <t>Madame X, rédactrice, a participé en début d’année à la fin de la préparation à l’écrit du concours d’attaché. Après admissibilité, elle participe à la préparation à l’oral. Dans la même année, nommée attachée stagiaire, elle a entamé sa formation initiale. Au 31/12/2020 cet agent se trouve en catégorie A, donc l'ensemble des formations suivies seront recensées dans cette catégorie.</t>
  </si>
  <si>
    <t xml:space="preserve">Nombre d'agents occupant un emploi non permanent et présents au 31/12/2020 ayant participé à au moins une action de formation dans l'année
</t>
  </si>
  <si>
    <t>Champ : le tableau qui suit concerne les fonctionnaires et les contractuels (sur un emploi permanent ou non permanent), présents au 31/12/2020.</t>
  </si>
  <si>
    <t>Titulaires et stagiaires présents au 31/12/2020</t>
  </si>
  <si>
    <t>Contractuels présents au 31/12/2020</t>
  </si>
  <si>
    <t xml:space="preserve">  - IND 1.1.4 - Nombre de fonctionnaires en Equivalent Temps Plein Rémunéré (ETPR) en 2020 par filière déclinée par catégorie hiérarchique et par sexe</t>
  </si>
  <si>
    <t xml:space="preserve">  - IND 1.2.4 - Nombre de contractuels en Equivalent Temps Plein Rémunéré (ETPR) en 2020 par filière déclinée par catégorie et par sexe</t>
  </si>
  <si>
    <t xml:space="preserve">  - IND 3.4.4 - Nombre d'heures supplémentaires et complémentaires réalisées et rémunérées en 2020, par sexe, filière et cadre d'emplois</t>
  </si>
  <si>
    <t xml:space="preserve">  - IND 5.1.1(1) - Tableau récapitulatif - Fonctionnaires et contractuels sur un emploi permanent ayant participé à au moins une formation en 2020</t>
  </si>
  <si>
    <t xml:space="preserve">  - IND 5.1.1(2) - Journées de formation suivies par les fonctionnaires et contractuels sur un emploi permanent présents au 31/12/2020 et nombre d'agents ayant participé à
                        au moins une journée de formation en 2020</t>
  </si>
  <si>
    <t xml:space="preserve">  - IND 5.1.2 (2) - Nombre d'agents sur un emploi non permanent présents au 31/12/2020 et ayant participé à au moins une formation en 2020</t>
  </si>
  <si>
    <t>1.1.4 - Nombre de fonctionnaires en Equivalent Temps Plein Rémunéré (ETPR) en 2020 par filière déclinée par catégorie hiérarchique et par sexe</t>
  </si>
  <si>
    <t>1.2.4 - Nombre de contractuels en Equivalent Temps Plein Rémunéré (ETPR) en 2020 par filière déclinée par catégorie et par sexe</t>
  </si>
  <si>
    <t>Nombre d'arrivées dans la collectivité en 2020</t>
  </si>
  <si>
    <t>Nombre de départs de la collectivité en 2020</t>
  </si>
  <si>
    <t>Champ : les tableaux qui suivent concernent les fonctionnaires et contractuels occupant un emploi fonctionnel, arrivés en 2020 et rémunérés au 31/12/2020.</t>
  </si>
  <si>
    <t>Arrivées en 2020</t>
  </si>
  <si>
    <t>Agent déjà présent en 2020 en tant que contractuel permanent</t>
  </si>
  <si>
    <t xml:space="preserve">Agent déjà présent en 2020 en tant que contractuel non permanent </t>
  </si>
  <si>
    <t>Lauréat déjà présent en 2020 en tant que contractuel permanent</t>
  </si>
  <si>
    <t>Lauréat déjà présent en 2020 en tant que contractuel non permanent</t>
  </si>
  <si>
    <t>Nombre de fonctionnaires bénéficiant d'un avancement de grade en 2020</t>
  </si>
  <si>
    <t>1.5.7. Nombre d'agents fonctionnaires et contractuels sur emploi permanent ayant bénéficié d'un accompagnement par un conseiller en évolution professionnelle en 2020</t>
  </si>
  <si>
    <t>Champ : les tableaux qui suivent concernent les agents sur emploi permanent, en 2020.</t>
  </si>
  <si>
    <t>Ce tableau compte le nombre de jours consommés en 2020 par type de consommation, pour les agents étant passés par la collectivité locale même s'ils n'y sont plus au 31/12/2020</t>
  </si>
  <si>
    <t>dont nombre d'agents ayant ouvert un compte épargne temps (CET) en 2020</t>
  </si>
  <si>
    <t>Nombre de jours utilisés sous forme de congés en 2020</t>
  </si>
  <si>
    <t>Nombre de jours indemnisés en 2020</t>
  </si>
  <si>
    <t>Nombre de jours pris en compte au titre de la  Rafp* en 2020</t>
  </si>
  <si>
    <t>Nombre de jours donnés au bénéfice d'un agent public en 2020</t>
  </si>
  <si>
    <t>3.4.4 - Nombre d'heures supplémentaires et complémentaires réalisées et rémunérées en 2020 par sexe, filière et cadre d'emplois</t>
  </si>
  <si>
    <t>Votre collectivité est-elle concernée par les heures supplémentaires et/ou complémentaires en 2020 ?</t>
  </si>
  <si>
    <t>Nombre d'heures supplémentaires réalisées et rémunérées en 2020</t>
  </si>
  <si>
    <t>Nombre d'heures complémentaires réalisées et rémunérées en 2020</t>
  </si>
  <si>
    <t>Nombre de visites médicales spontanées chez le médecin de prévention, en 2020</t>
  </si>
  <si>
    <t>Y a-t-il eu des accidents du travail ou des arrêts de travail en lien avec ces accidents en 2020 dans votre collectivité ?</t>
  </si>
  <si>
    <t>Y a-t-il eu des maladies professionnelles ou à caractère professionnel ou contractées en service ou des arrêts de travail en lien avec ces maladies en 2020 dans votre collectivité ?</t>
  </si>
  <si>
    <t>Est-ce que certains agents de votre collectivité ont été victimes d'actes de violence physique (y compris violences sexuelles) en 2020, de la part d'usagers ou d'autres agents ?</t>
  </si>
  <si>
    <t>Est-ce que certains agents de votre collectivité ont été victimes de harcèlement moral en 2020, de la part d'usagers ou d'autres agents ?</t>
  </si>
  <si>
    <t>Est-ce que certains agents de votre collectivité ont été victimes de harcèlement sexuel en 2020, de la part d'usagers ou d'autres agents ?</t>
  </si>
  <si>
    <t>Est-ce que certains agents de votre collectivité ont été victimes d'agissements sexistes en 2020, de la part d'usagers ou d'autres agents ?</t>
  </si>
  <si>
    <t>5.1.1 (1) -  Tableau récapitulatif - Fonctionnaires et contractuels  sur un emploi permanent présents dans les effectifs au 31/12/2020 ayant participé à au moins une formation en 2020</t>
  </si>
  <si>
    <t>Champ : le tableau qui suit concerne les fonctionnaires et contractuels sur un emploi permanent, présents  au 31/12/2020 et ayant participé à au moins une formation en 2020.</t>
  </si>
  <si>
    <t>5.1.1 (2) - Journées de formation suivies par les fonctionnaires et contractuels sur un emploi permanent présents au 31/12/2020 et nombre d'agents sur emploi permanent ayant participé à au moins une journée de formation en 2020</t>
  </si>
  <si>
    <t>Champ : les tableaux qui suivent concernent les fonctionnaires et contractuels sur un emploi permanent, présents au 31/12/2020 et ayant participé à au moins une formation en 2020.</t>
  </si>
  <si>
    <t>Champ : le tableau qui suit concerne les agents sur un emploi non permanent, présents  au 31/12/2020 et ayant participé à au moins une formation en 2020.</t>
  </si>
  <si>
    <t>5.1.2 (2) - Nombre d'agents sur un emploi non permanent présents au 31/12/2020 et ayant participé à au moins une formation en 2020</t>
  </si>
  <si>
    <t>Champ : le tableau qui suit concerne les agents sur un emploi non permanent, présents au 31/12/2020 et ayant participé à au moins une formation en 2020.</t>
  </si>
  <si>
    <t>Nombre d'agents sur un emploi non permanent présents au 31/12/2020 et ayant participé à au moins une formation en 2020</t>
  </si>
  <si>
    <t>Champ : le tableau qui suit concerne le coût des formations qui ont eu lieu en 2020.</t>
  </si>
  <si>
    <t>Votre comité technique (CT) a-t-il siégé en 2020 pour exercer les missions dévolues à un comité d'hygiène et de sécurité et condition de travail (CHSCT) ?</t>
  </si>
  <si>
    <t>Nombre de journées de grève en 2020</t>
  </si>
  <si>
    <t>Nombre de sanctions prononcées concernant les fonctionnaires titulaires (art. 89 de la loi du 26 janvier 1984) en 2020</t>
  </si>
  <si>
    <t>Nombre de sanctions prononcées concernant les fonctionnaires stagiaires (art. 6 du décret n° 92-1194 du 4 novembre 1992) en 2020</t>
  </si>
  <si>
    <t>Nombre de sanctions prononcées concernant les agents contractuels (art. 36-1 du décret n° 88-145 du 15 février 1988) en 2020</t>
  </si>
  <si>
    <t>Principal motif des sanctions prononcées concernant les agents fonctionnaires, stagiaires et contractuels en 2020</t>
  </si>
  <si>
    <t>Fiche 1.5.0 - Départs dans l'année 2020</t>
  </si>
  <si>
    <t xml:space="preserve">  - IND 1.5.0 - Départs dans l'année 2020, par motif de départ et selon le sexe et la catégorie</t>
  </si>
  <si>
    <t>Fiche 1.5.1 - Arrivées d'agents sur emploi fonctionnel, au cours de l'année 2020</t>
  </si>
  <si>
    <t xml:space="preserve">  - IND 1.5.1 - Arrivées d'agents sur emploi fonctionnel au cours de l'année 2020, par statut d'origine, selon le grade de détachement et le sexe</t>
  </si>
  <si>
    <t>Fiche 1.5.2 - Arrivées de fonctionnaires dans l'année 2020</t>
  </si>
  <si>
    <t xml:space="preserve">  - IND 1.5.2 - Arrivées de fonctionnaires dans l'année 2020,  par cadre d'emplois, selon le motif de recrutement </t>
  </si>
  <si>
    <t>Fiche 1.5.3 - Arrivées de contractuels sur emploi permanent dans l'année 2020</t>
  </si>
  <si>
    <t xml:space="preserve">  - IND 1.5.3 - Arrivées de contractuels sur emploi permanent dans l'année 2020, par filière et cadre d'emplois, selon les caractéristiques de l'emploi et le sexe</t>
  </si>
  <si>
    <t>Fiche 1.5.4-1.5.7 - Titularisations, avancements, accompagnements professionnels dans l'année 2020</t>
  </si>
  <si>
    <t xml:space="preserve">  - IND 1.5.4 - Titularisation et stages au cours de l'année 2020</t>
  </si>
  <si>
    <t xml:space="preserve">  - IND 1.5.5 - Avancements dans l'année 2020</t>
  </si>
  <si>
    <t xml:space="preserve">  - IND 1.5.6 - Avancements de grade dans l'année 2020 par filière et catégorie hiérarchique</t>
  </si>
  <si>
    <t xml:space="preserve">  - IND 3.1.1 et 3.2.1 - Rémunérations des fonctionnaires et contractuels occupant un emploi permanent ayant travaillé au moins un jour durant l'année 2020</t>
  </si>
  <si>
    <t xml:space="preserve">  - IND 3.3.1 - Rémunérations des agents sur emploi non permanent ayant travaillé au moins un jour durant l'année 2020</t>
  </si>
  <si>
    <t xml:space="preserve">  - IND 4.1.2 - Actions liées à la prévention dans l'année 2020</t>
  </si>
  <si>
    <t xml:space="preserve">  - IND 4.2.1 - les accidents du travail survenus dans l'année 2020, par cadre d'emplois et par sexe</t>
  </si>
  <si>
    <t xml:space="preserve">  - IND 4.2.3 - Inaptitudes au cours de l'année 2020</t>
  </si>
  <si>
    <t xml:space="preserve">  - IND 4.2.4 - Nombre d'allocations temporaires d'invalidité (ATI) attribuées au cours de l'année 2020</t>
  </si>
  <si>
    <t xml:space="preserve">  - IND 4.3.1 - Nombre d'actes de violences physiques et de signalements pour actes de violences sexuelles, agissements sexistes, harcèlement moral et harcèlement sexuel
                    envers le personnel au cours de l'année 2020</t>
  </si>
  <si>
    <t xml:space="preserve">  - IND 5.1.2 (1) - Journées de formation suivies par les agents sur un emploi non permanent au cours de l'année 2020</t>
  </si>
  <si>
    <t xml:space="preserve">  - IND 5.1.3 - Validation de l'expérience, bilan de compétence et congé de formation dans l'année 2020</t>
  </si>
  <si>
    <t>Champ : le tableau qui suit concerne les fonctionnaires, occupant un emploi permanent à temps complet ou non complet et ayant été rémunérés au moins un jour durant l'année 2020 (hors heures supplémentaires et/ou complémentaires).</t>
  </si>
  <si>
    <t>année 2020</t>
  </si>
  <si>
    <t>Champ : le tableau qui suit concerne les contractuels occupant un emploi permanent à temps complet ou non complet et ayant été rémunérés au moins un jour durant l'année 2020 (hors heures supplémentaires et/ou complémentaires)</t>
  </si>
  <si>
    <t xml:space="preserve">année 2020 </t>
  </si>
  <si>
    <t>* ou rémunérés au moins 1 jour dans l’année 2020 .</t>
  </si>
  <si>
    <t>- les agents qui ont été rémunérés au 31/12/2020 ont, par définition, été rémunérés au moins un jour dans l'année 2020. Ils doivent donc également être recensés dans les effectifs des colonnes  1.3.1(1.3) et 1.3.1(1.4) pour l'indicateur 1.3.1(1).</t>
  </si>
  <si>
    <t>- si une personne a exercé sur plusieurs périodes distinctes au cours de l'année, il ne faut la compter qu’une fois, pour l'indicateur 1.3.1(1), dans les effectifs des agents ayant été rémunérés au moins un jour dans l'année 2020.</t>
  </si>
  <si>
    <t>- colonnes 1.3.1(1.3) et 1.3.1(1.4) : rémunération au moins un jour au cours de l'année 2020 (en nombre de personnes)</t>
  </si>
  <si>
    <t>Pour l'indicateur 1.3.1(2) : rémunération au moins un jour au cours de l'année 2020 (en ETPR)</t>
  </si>
  <si>
    <t xml:space="preserve">* ou présentes au moins 1 jour dans l’année 2020 </t>
  </si>
  <si>
    <t xml:space="preserve">- colonnes 1.3.2(3) et 1.3.2(4) : rémunération au moins un jour au cours de l'année 2020 </t>
  </si>
  <si>
    <t>- les agents qui ont été présents au 31/12/2020 ont, par définition, été présents au moins un jour dans l'année 2020. Ils doivent donc être recensés dans les deux colonnes 1.3.2(1) et 1.3.2(2).</t>
  </si>
  <si>
    <t xml:space="preserve">Champ : les tableaux qui suivent concernent les agents contractuels sur un emploi non permanent ayant été rémunérés au moins un jour durant l'année 2020 </t>
  </si>
  <si>
    <t>Champ : les tableaux qui suivent concernent les agents contractuels sur emploi non permanent ayant été rémunérés au moins un jour durant l'année 2020 (hors heures supplémentaires et/ou complémentaires).</t>
  </si>
  <si>
    <t>Nombre de contractuels sur emploi non permanent en Equivalent Temps Plein Rémunéré sur l'année 2020</t>
  </si>
  <si>
    <t>Champ : personnes de droit public ou privé qui sont dans le cadre d'une mission temporaire et qui sont mises à disposition par les CDG ou intérimaires, ayant été présentes au moins un jour durant l'année 2020.</t>
  </si>
  <si>
    <t>1.5.0- Départs dans l'année 2020</t>
  </si>
  <si>
    <t>* ayant quitté votre collectivité au cours de l’année 2020</t>
  </si>
  <si>
    <t>1.5.0 - Départs dans l'année 2020, par motifs de départ et selon le sexe et la catégorie</t>
  </si>
  <si>
    <t>Agent rémunéré par la collectivité d'origine suite à son départ "temporaire" au cours de l'année 2020</t>
  </si>
  <si>
    <t>Agent non rémunéré ou indemnisé par la collectivité d'origine suite à son départ "temporaire" ou définitif au cours de l'année 2020</t>
  </si>
  <si>
    <t>1.5.0.1 - Départs des fonctionnaires au cours de l'année 2020</t>
  </si>
  <si>
    <t>. Fin de détachement dans votre collectivité (agents originaires d'autres structures:fonction publique d'Etat, fonction publique hospitalière, …dont le détachement dans votre collectivité s'est terminé dans l'année 2020)</t>
  </si>
  <si>
    <t>1.5.0.2 - Départs des contractuels sur emploi permanent au cours de l'année 2020</t>
  </si>
  <si>
    <t>. Fin de contrat (ne pas inclure les agents contractuels mis en stage dans l'année 2020)</t>
  </si>
  <si>
    <t xml:space="preserve">                 dont fin de contrat d'agent remplaçant article 3-1 (ne pas inclure les agents contractuels mis en stage dans l'année 2020)</t>
  </si>
  <si>
    <t>1.5.1 - Arrivées d'agents sur emploi fonctionnel au cours de l'année 2020</t>
  </si>
  <si>
    <t>* arrivés au cours de l'année 2020</t>
  </si>
  <si>
    <t>1.5.1 - Arrivées d'agents sur emploi fonctionnel au cours de l'année 2020, par statut d'origine, selon le grade de détachement et le sexe</t>
  </si>
  <si>
    <t>1.5.2 - Arrivées de fonctionnaires dans l'année 2020</t>
  </si>
  <si>
    <t>* recrutés dans votre collectivité au cours de l’année 2020</t>
  </si>
  <si>
    <t xml:space="preserve">1.5.2 - Arrivées de fonctionnaires dans l'année 2020, par cadre d'emplois, selon le motif de recrutement </t>
  </si>
  <si>
    <t>Champ : le tableau qui suit concerne les fonctionnaires occupant un emploi permanent, arrivés au cours de l'année 2020 et rémunérés au 31/12/2020.</t>
  </si>
  <si>
    <t>1.5.3 - Arrivées de contractuels sur emploi permanent dans l'année 2020</t>
  </si>
  <si>
    <t xml:space="preserve">* recrutés dans votre collectivité au cours de l’année 2020 </t>
  </si>
  <si>
    <t>1.5.3 - Arrivées de contractuels sur emploi permanent dans l'année 2020, par filière et cadre d'emplois, selon les caractéristiques de l'emploi et le sexe</t>
  </si>
  <si>
    <t>Champ : les tableaux suivants concernent les agents contractuels sur un emploi permanent, arrivés au cours de l'année 2020 et rémunérés au 31/12/2020</t>
  </si>
  <si>
    <t>1.5.4-1.5.7 - Titularisations,  avancements, accompagnements professionnels dans l'année 2020</t>
  </si>
  <si>
    <t>* les fonctionnaires stagiaires ayant fait l’objet, au cours de l’année 2020, d’une décision :</t>
  </si>
  <si>
    <t>* les agents contractuels (sur emplois permanents ou non) ayant fait l’objet, au cours de l’année 2020, d’une décision :</t>
  </si>
  <si>
    <t>* les nouveaux arrivants nommés directement stagiaires, au cours de l'année 2020.</t>
  </si>
  <si>
    <t>* les fonctionnaires ayant fait l’objet, au cours de l’année 2020, d’une décision d'avancement :</t>
  </si>
  <si>
    <t xml:space="preserve">*  les fonctionnaires ayant bénéficié d'un avancement de grade au cours de l'année 2020 </t>
  </si>
  <si>
    <t xml:space="preserve">*  ayant bénéficié d'un accompagnement par un conseiller en évolution professionnelle au cours de l'année 2020 </t>
  </si>
  <si>
    <t>1.5.4-1.5.5 Titularisations et avancements dans l'année 2020</t>
  </si>
  <si>
    <t>1.5.4 Titularisations et stages au cours de l'année 2020</t>
  </si>
  <si>
    <t>Champ : le tableau qui suit concerne les fonctionnaires, ayant fait l'objet d'une décision, au cours de l'année 2020.</t>
  </si>
  <si>
    <t>Nouveaux arrivants directement nommés stagiaires dans l'année 2020</t>
  </si>
  <si>
    <t>Agents contractuels permanents (déjà présents) nommés stagiaires dans l'année 2020</t>
  </si>
  <si>
    <t>Agents contractuels non permanents (déjà présents) nommés stagiaires dans l'année 2020</t>
  </si>
  <si>
    <t>1.5.5 Avancements dans l'année 2020</t>
  </si>
  <si>
    <t>1.5.6 Avancements de grade dans l'année 2020 par filière et catégorie hiérarchique</t>
  </si>
  <si>
    <t>Champ : le tableau qui suit concerne les fonctionnaires ayant connu un avancement de grade, au cours de l'année 2020 et rémunérés au 31/12/2020.</t>
  </si>
  <si>
    <t>Champ : le tableau qui suit concerne les fonctionnaires et contratuels sur emploi permanent  ayant bénéficié d'un accompagnement par un conseiller en évolution professionnelle au cours de l'année 2020</t>
  </si>
  <si>
    <t xml:space="preserve">(*) Les employeurs peuvent s'acquitter partiellement de l'obligation d'emploi instituée par l'article L. 323-1 en passant des contrats de fournitures de sous-traitance ou de prestations de services avec des entreprises adaptées, des centres de distribution de travail à domicile ou des centres d'aide par le travail. Cette exonération, dont les modalités et les limites sont fixées par voie réglementaire, est proportionnelle au volume de travail fourni à ces ateliers et centres. en application du premier alinéa de l’article L.323-8 du code du travail. Montant total exprimé en euros, TTC.
(**) Les unités déductibles sont le résultat de la conversion en unités du montant en euro des quatre types de dépenses couvrant partiellement l’obligation. Le nombre d'unités déductibles est égal au quotient obtenu en divisant le montant des dépenses réalisées en application du premier alinéa de l'article L. 323-8 et de celles affectées à des mesures adoptées en vue de faciliter l'insertion professionnelle des personnes en situation de handicap dans la fonction publique (art. 6 du décret n°2006-501 relatif au FIPHFP), par le traitement brut annuel minimum servi à un agent occupant à temps complet un emploi public apprécié au 31 décembre de l'année 2020 (17 375,78 €).
</t>
  </si>
  <si>
    <t>Champ : le tableau qui suit concerne les fonctionnaires et contractuels sur emploi permanent ayant bénéficié d'un congé paternité ou d'accueil de l'enfant au cours de l'année 2020.</t>
  </si>
  <si>
    <t>Champ : le tableau qui suit concerne les fonctionnaires et contractuels sur emploi permanent ayant bénéficié d'un congé de présence parentale au cours de l'année 2020.</t>
  </si>
  <si>
    <t>Champ : le tableau qui suit concerne les fonctionnaires et contractuels sur un emploi permanent ayant bénéficié d'un congé de solidarité familiale au cours de l'année 2020.</t>
  </si>
  <si>
    <t>Cet indicateur recense le nombre d'agents avec un compte épargne temps (CET), dont ceux avec un compte ouvert au cours de l’année 2020.</t>
  </si>
  <si>
    <t>Ce tableau compte le nombre d'agents avec un CET pour les agents présents dans la collectivité locale au 31/12/2020, dont ceux ouverts dans l'année 2020.</t>
  </si>
  <si>
    <t>Ce tableau compte :
 - d'une part,  le nombre de jours accumulés au 31/12/2020 hors jours y compris versés au titre de l'année 2020 pour les agents présents dans la collectivité locale au 31/12/2020
 - d'autre part,  le nombre de jours versés au titre de l'année 2020 pour les agents présents dans la collectivité locale au 31/12/2020</t>
  </si>
  <si>
    <t>- les agents ayant demandé à bénéficier du télétravail au cours de l'année 2020</t>
  </si>
  <si>
    <t>Remarque : un agent ayant demandé à bénéficier du télétravail au cours de l'année 2020 et exerçant en télétravail au 31/12/2020 sera comptabilisé deux fois.</t>
  </si>
  <si>
    <t>dont nombre de jours versés au titre de l'année 2020</t>
  </si>
  <si>
    <t>Nombre d’agents ayant demandé à bénéficier du télétravail au cours de l'année 2020</t>
  </si>
  <si>
    <t>Champ : les tableaux qui suivent concernent les agents ayant été rémunérés au moins un jour dans l'année, au cours de l'année 2020</t>
  </si>
  <si>
    <t>*ayant travaillé au moins un jour au cours de l'année 2020</t>
  </si>
  <si>
    <t>* ayant travaillé au moins un jours au cours de l'année 2020</t>
  </si>
  <si>
    <t>* ayant travaillé au moins un jour au cours de l'année 2020</t>
  </si>
  <si>
    <t>Préciser le nombre d'agents allocataires au titre de l'année 2020.</t>
  </si>
  <si>
    <t>Préciser le nombre d'allocataires au titre de l'année 2020.</t>
  </si>
  <si>
    <t>3.1.1 et 3.2.1  - Rémunérations des fonctionnaires et de contractuels occupant un EMPLOI PERMANENT 
ayant travaillé au moins un jour durant l'année 2020</t>
  </si>
  <si>
    <t>Champ : les tableaux qui suivent concernent les fonctionnaires et les contractuels sur un emploi permanent, ayant travaillé au moins un jour au cours de l'année 2020.</t>
  </si>
  <si>
    <t>Les rémunérations à prendre en compte sont les rémunérations annuelles des agents ayant travaillé au moins un jour durant l'année 2020.</t>
  </si>
  <si>
    <t>3.3.1 Rémunérations des agents sur EMPLOI NON PERMANENT ayant travaillé au moins un jour durant l'année 2020</t>
  </si>
  <si>
    <t>Champ : le tableau qui suit concerne les agents contractuels sur un emploi non permanent, ayant travaillé au moins un jour au cous de l'année 2020</t>
  </si>
  <si>
    <t>Nombre d'allocataires dans l'année 2020</t>
  </si>
  <si>
    <t>Champ : le tableau qui suit concerne les fonctionnaires et contractuels sur emploi permanent, présent au cours de l'année 2020</t>
  </si>
  <si>
    <t>4.1.2 Actions liées à la prévention dans l'année 2020</t>
  </si>
  <si>
    <t>Votre collectivité a-t-elle mis en place les démarches de prévention suivantes, au cours de l'année 2020 :</t>
  </si>
  <si>
    <t>4.2.1 - Les accidents du travail* survenus dans l'année 2020
par cadre d'emplois et par sexe
* y compris ceux qui n'ont pas donné lieu à arrêt de travail</t>
  </si>
  <si>
    <t>Champ : le tableau qui suit concerne tous les agents quel que soit leur statut (y compris contractuels sur emploi non permanent), présents au cours de l'année 2020.</t>
  </si>
  <si>
    <t>Nombre total d'heures rémunérées sur l'année 2020</t>
  </si>
  <si>
    <t>Nombre d'accidents du travail* reconnus dans l'année 2020</t>
  </si>
  <si>
    <t>Nombre de jours d'arrêts de travail (pour les accidents du travail survenus dans l'année 2020 ou auparavant)</t>
  </si>
  <si>
    <t>Nombre de maladies professionnelles ou à caractère professionnel ou contractées en service reconnues dans l'année 2020</t>
  </si>
  <si>
    <t>Nombre de maladies professionnelles ou à caractère professionnel ou contractées en service reconnues dans les années antérieures ayant entraînées des jours d'arrêt dans l'année 2020</t>
  </si>
  <si>
    <t>4.2.3 - Inaptitudes au cours de l'année 2020</t>
  </si>
  <si>
    <t>Champ : le tableau qui suit concerne les agents titulaires, stagiaires et contractuels sur emploi permanent, présents au cours de l'année 2020.</t>
  </si>
  <si>
    <t>Demande de reclassement au cours de l'année 2020 suite à une inaptitude liée à un accident du travail ou une maladie professionnelle</t>
  </si>
  <si>
    <t>Demande de reclassement au cours de l'année 2020 suite à une inaptitude liée à d'autres facteurs</t>
  </si>
  <si>
    <t>Reclassement effectif au cours de l'année 2020 suite à une inaptitude liée à un accident du travail ou une maladie professionnelle</t>
  </si>
  <si>
    <t>Reclassement effectif au cours de l'année 2020 suite à une inaptitude liée à d'autres facteurs</t>
  </si>
  <si>
    <t xml:space="preserve">Décision d'inaptitude définitive du fonctionnaire à son emploi, et à tout emploi, au cours de l'année 2020 suite à l'avis du comité médical ou de la commission de réforme et travaillant dans la filière : </t>
  </si>
  <si>
    <t>Décisions d'accord de temps partiel thérapeutique recensées sur l'année 2020</t>
  </si>
  <si>
    <t>4.2.4 - Nombre d'allocations temporaires d'invalidité (ATI) attribuées au cours de l'année 2020</t>
  </si>
  <si>
    <t>Avez-vous adhéré à un contrat d'assurance statutaire pour la gestion du risque maladie, pour l'année 2020 ?</t>
  </si>
  <si>
    <t>4.3.1 - Nombre d'actes de violences physiques et de signalements pour actes de violences sexuelles, agissements sexistes, harcèlement moral et harcèlement sexuel envers le personnel au cours de l'année 2020</t>
  </si>
  <si>
    <t>Champ : le tableau qui suit concerne tous les agents, titulaires et contractuels, y compris sur un emploi non permanent, présents au cours de l'année 2020.</t>
  </si>
  <si>
    <t>Nombre d'actes de violence physique (y compris violences sexuelles) envers le personnel au cours de l'année 2020</t>
  </si>
  <si>
    <t>* VAE : indiquer, pour l'année 2020 :</t>
  </si>
  <si>
    <t>* congés de formation : indiquer le nombre d'agents bénéficiant d'un congé de formation accepté, au titre de l'année 2020, tel que prévu au décret  2007-1845 du 26 décembre 2007 relatif à la formation professionnelle tout au long de la vie des agents de la fonction publique territoriale (articles 8 et 11 à 17 pour les fonctionnaires et articles 43 à 45 pour les contractuels).</t>
  </si>
  <si>
    <t>5.1.2 (1) - Journées de formation suivies par les agents sur un emploi non permanent au cours de l'année 2020</t>
  </si>
  <si>
    <t>5.1.3 - Validation de l'expérience, bilan de compétence et congé de formation dans l'année 2020</t>
  </si>
  <si>
    <t>Montants
pour l'année 2020
en euros</t>
  </si>
  <si>
    <t>Nombre de réunions
dans l'année 2020</t>
  </si>
  <si>
    <t>Nombre de réunions du CHSCT dans l'année 2020</t>
  </si>
  <si>
    <t xml:space="preserve"> Nombre de réunions du CT dans l'année 2020 pour exercer les missions dévolues à un CHSCT</t>
  </si>
  <si>
    <t>Champ : cette rubrique concerne les fonctionnaires et contractuels, présents au cours de l'année 2020.</t>
  </si>
  <si>
    <t>Nombre de jours
dans l'année 2020</t>
  </si>
  <si>
    <t>Nombre d'heures
dans l'année 2020</t>
  </si>
  <si>
    <t>Nombre de protocoles
dans l'année 2020</t>
  </si>
  <si>
    <t xml:space="preserve">L'indicateur 6.1.4 recense les sanctions disciplinaires prononcées au cours de l'année 2020. </t>
  </si>
  <si>
    <t>Remarque : Le nombre de motifs reportés dans ce tableau doit correspondre au nombre total des sanctions effectivement prononcées au cours de l'année 2020.</t>
  </si>
  <si>
    <t>Champ : les tableaux qui suivent concerne les fonctionnaires et les contractuels (sur un emploi permanent ou non permanent), présents au cours de l'année 2020.</t>
  </si>
  <si>
    <t>7.1 Action sociale relevant de la collectivité dans l'année 2020</t>
  </si>
  <si>
    <t>* rémunérés à la date du 31 décembre 2020</t>
  </si>
  <si>
    <t xml:space="preserve">- les fonctionnaires occupant un emploi fonctionnel de direction doivent être comptabilisés uniquement dans leurs cadres d'emplois et grades respectifs (nomenclature des emplois territoriaux au 31 décembre 2020) même s'ils ont déjà été comptabilisés dans l'indicateur 1.1.0. </t>
  </si>
  <si>
    <t xml:space="preserve">* rémunérés par votre collectivité à la date du 31 décembre 2020 </t>
  </si>
  <si>
    <t>- les fonctionnaires qui, n'étant pas en position d'activité, ne sont pas rémunérés à la date du 31 décembre 2020 (y compris les agents en disponibilité d'office après maladie) ;</t>
  </si>
  <si>
    <t>- les fonctionnaires occupant un emploi fonctionnel de direction doivent être comptabilisés uniquement dans leurs cadres d'emplois et grades respectifs (nomenclature des emplois territoriaux au 31 décembre 2020) même s'ils ont déjà été comptabilisés dans l'indicateur 1.1.0 ;</t>
  </si>
  <si>
    <t>*rémunérés à la date du 31 décembre 2020</t>
  </si>
  <si>
    <t>* en fonction de la rémunération (au 31 décembre 2020 ou au moins un jour au cours de l'année 2020) croisée par le sexe (en colonnes)</t>
  </si>
  <si>
    <t>- colonnes 1.3.1(1.1) et 1.3.1(1.2) : rémunération au 31 décembre 2020 (en nombre de personnes)</t>
  </si>
  <si>
    <t>* présentes à la date du 31 décembre 2020</t>
  </si>
  <si>
    <t>* en fonction de la présence (au 31 décembre 2020 ou au moins un jour au cours de l'année 2020) croisée par le sexe (en colonnes)</t>
  </si>
  <si>
    <t xml:space="preserve">- colonnes 1.3.2(1) et 1.3.2(2) : rémunération au 31 décembre 2020 </t>
  </si>
  <si>
    <t>Effectifs rémunérés
 au 31 décembre 2020</t>
  </si>
  <si>
    <t>Effectifs présents
 au 31 décembre 2020</t>
  </si>
  <si>
    <t xml:space="preserve">* et rémunérés à la date du 31 décembre 2020 </t>
  </si>
  <si>
    <t>* et rémunérés à la date du 31 décembre 2020</t>
  </si>
  <si>
    <t>* et rémunérés en date du 31 décembre 2020</t>
  </si>
  <si>
    <t>Champ : les tableaux qui suivent concernent les fonctionnaires présents dans les effectifs au 31 décembre 2020.</t>
  </si>
  <si>
    <t>Champ : les tableaux qui suivent concernent les contractuels sur emploi permanent présents dans les effectifs au 31 décembre 2020.</t>
  </si>
  <si>
    <t>Champ : les tableaux qui suivent concernent les contractuels sur emploi NON permanent présents dans les effectifs au 31 décembre 2020.</t>
  </si>
  <si>
    <t>Champ : le tableau qui suit concerne les agents occupant un emploi permanent à temps complet (qu'ils travaillent à temps plein ou à temps partiel) présents au 31 décembre 2020.</t>
  </si>
  <si>
    <t>Nombre de fonctionnaires et de contractuels sur emploi permanent à temps complet concernés au 31 décembre 2020</t>
  </si>
  <si>
    <t>AU 31 DECEMBRE 2020</t>
  </si>
  <si>
    <t>Effectifs ayant été rémunérés au moins un jour entre le 1er janvier 2020 et le 31 décembre 2020</t>
  </si>
  <si>
    <t>Effectifs présents au moins
un jour entre le 1er janvier 2020
et le 31 décembre 2020</t>
  </si>
  <si>
    <t>Nombre d'agents bénéficiant d'un congé de formation au titre de 2020</t>
  </si>
  <si>
    <t>Votre collectivité est-elle concernée par les grèves en 2020 ?</t>
  </si>
  <si>
    <t>Précision : ne prendre en compte que les sanctions effectivement prononcées courant 2020 (ne pas inclure les procédures disciplinaires en cours).</t>
  </si>
  <si>
    <t>Champ : les tableaux qui suivent concerne les fonctionnaires et les contractuels (sur un emploi permanent ou non permanent), au 31/12/ 2020.</t>
  </si>
  <si>
    <t>Nombre de travailleurs en situation de handicap sur emploi permanent employés par la collectivité au 31/12/2020</t>
  </si>
  <si>
    <t>Nombre de fonctionnaires ayant été inscrits sur liste d'aptitude :</t>
  </si>
  <si>
    <t xml:space="preserve">                            '- dont nombre d'agents n'ayant pas été nommés dans la collectivité :</t>
  </si>
  <si>
    <t xml:space="preserve">             . Promotion interne suite à un examen professionnel :</t>
  </si>
  <si>
    <t xml:space="preserve">             . Promotion interne sans examen professionnel :</t>
  </si>
  <si>
    <t xml:space="preserve">             - Réussite à un concours d'agents déjà fonctionnaires dans la collectivité :</t>
  </si>
  <si>
    <t>Champ : le tableau qui suit concerne les fonctionnaires ayant connu un avancement d'échelon, de grade ou une inscription sur liste d'aptitude au cours de l'année 2020.</t>
  </si>
  <si>
    <t>Si l'exportation ne fonctionne pas, contactez votre Centre de gestion</t>
  </si>
  <si>
    <t>www.donnees-sociales.fr</t>
  </si>
  <si>
    <t>Une fois ce questionnaire complété, veuillez exporter les données vers</t>
  </si>
  <si>
    <t xml:space="preserve">RAPPORT SOCIAL UNIQUE </t>
  </si>
  <si>
    <t>PRÉSENTÉ AU COMITÉ TECHNIQUE ET À l'ASSEMBLÉE DÉLIBÉRANTE</t>
  </si>
  <si>
    <t>LISTE NORMALISÉE DES INFORMATIONS DISPONIBLES</t>
  </si>
  <si>
    <t>cliquez ici</t>
  </si>
  <si>
    <t xml:space="preserve">Conformément à la loi du 6 août 2018, les Centres de Gestion mettent à disposition des collectivités une application de saisie, de contrôle et d'exploitation du Rapport Social Unique. </t>
  </si>
  <si>
    <t>Conformément à la loi du 6 août 2020 et au décret n° 2020-1493 du 30 novembre 2020 relatif à la base de données sociales et au rapport social unique dans la fonction publique</t>
  </si>
  <si>
    <t>Puis, veuillez l'intégrer sur l'application :</t>
  </si>
  <si>
    <t xml:space="preserve">Pour importer dans un questionnaire vierge les données d'un fichier texte d'échange cliquez sur le bouton ci-dessus </t>
  </si>
  <si>
    <t>Cadre d'emploi F</t>
  </si>
  <si>
    <t>Contractuel P</t>
  </si>
  <si>
    <t>tt agent</t>
  </si>
  <si>
    <t>Rang</t>
  </si>
  <si>
    <t>Rang 2</t>
  </si>
  <si>
    <t>%</t>
  </si>
  <si>
    <t>Cadre</t>
  </si>
  <si>
    <t>Catégorie</t>
  </si>
  <si>
    <t>Æ</t>
  </si>
  <si>
    <t>Numéro</t>
  </si>
  <si>
    <t>Région</t>
  </si>
  <si>
    <t>Colonne2</t>
  </si>
  <si>
    <t>Alsace</t>
  </si>
  <si>
    <t>Centre de Gestion du Bas-Rhin</t>
  </si>
  <si>
    <t>Budget de fonctionnement*</t>
  </si>
  <si>
    <t>Charges de personnel*</t>
  </si>
  <si>
    <t>Centre de Gestion du Haut-Rhin</t>
  </si>
  <si>
    <t>Ensemble agents permanents</t>
  </si>
  <si>
    <t>Aquitaine</t>
  </si>
  <si>
    <t>Centre de Gestion de la Dordogne</t>
  </si>
  <si>
    <t>Emplois permanents rémunérés</t>
  </si>
  <si>
    <t>* Montant global</t>
  </si>
  <si>
    <t>Centre de Gestion de la Gironde</t>
  </si>
  <si>
    <r>
      <rPr>
        <b/>
        <sz val="10.5"/>
        <color indexed="8"/>
        <rFont val="Calibri"/>
        <family val="2"/>
      </rPr>
      <t xml:space="preserve">Taux d'absentéisme « compressible » </t>
    </r>
    <r>
      <rPr>
        <i/>
        <sz val="8"/>
        <color indexed="8"/>
        <rFont val="Calibri"/>
        <family val="2"/>
      </rPr>
      <t>(maladies ordinaires et accidents de travail)</t>
    </r>
  </si>
  <si>
    <t>Centre de Gestion des Landes</t>
  </si>
  <si>
    <t>Techniciens</t>
  </si>
  <si>
    <t>Rémunérations annuelles brutes -
emploi permanent :</t>
  </si>
  <si>
    <t>Centre de Gestion du Lot-et-Garonne</t>
  </si>
  <si>
    <t>Centre de Gestion des Pyrénées-Atlantiques</t>
  </si>
  <si>
    <t>Primes et indemnités versées :</t>
  </si>
  <si>
    <r>
      <rPr>
        <b/>
        <sz val="10.5"/>
        <color indexed="8"/>
        <rFont val="Calibri"/>
        <family val="2"/>
      </rPr>
      <t xml:space="preserve">Taux d'absentéisme médical 
</t>
    </r>
    <r>
      <rPr>
        <sz val="8"/>
        <rFont val="Calibri"/>
        <family val="2"/>
      </rPr>
      <t>(</t>
    </r>
    <r>
      <rPr>
        <i/>
        <sz val="8"/>
        <rFont val="Calibri"/>
        <family val="2"/>
      </rPr>
      <t>toutes absences
 pour motif médical)</t>
    </r>
  </si>
  <si>
    <t>Auvergne</t>
  </si>
  <si>
    <t>Centre de Gestion de l'Allier</t>
  </si>
  <si>
    <t>Heures supplémentaires et/ou complémentaires :</t>
  </si>
  <si>
    <t>Centre de Gestion du Cantal</t>
  </si>
  <si>
    <r>
      <rPr>
        <i/>
        <vertAlign val="superscript"/>
        <sz val="8"/>
        <color indexed="23"/>
        <rFont val="Calibri"/>
        <family val="2"/>
      </rPr>
      <t>1</t>
    </r>
    <r>
      <rPr>
        <i/>
        <sz val="8"/>
        <color indexed="23"/>
        <rFont val="Calibri"/>
        <family val="2"/>
      </rPr>
      <t xml:space="preserve"> cf. page 7</t>
    </r>
  </si>
  <si>
    <t>Nouvelle Bonification Indiciaire :</t>
  </si>
  <si>
    <t>Centre de Gestion de la Haute-Loire</t>
  </si>
  <si>
    <t>Supplément familial de traitement :</t>
  </si>
  <si>
    <r>
      <t>Taux d'absentéisme global</t>
    </r>
    <r>
      <rPr>
        <i/>
        <sz val="8"/>
        <rFont val="Calibri"/>
        <family val="2"/>
      </rPr>
      <t xml:space="preserve"> 
(toutes absences y compris maternité, paternité et autre)</t>
    </r>
  </si>
  <si>
    <t>Centre de Gestion du Puy-de-Dôme</t>
  </si>
  <si>
    <t>Variation des effectifs*</t>
  </si>
  <si>
    <t>Indemnité de résidence :</t>
  </si>
  <si>
    <t>Basse-Normandie</t>
  </si>
  <si>
    <t>Centre de Gestion du Calvados</t>
  </si>
  <si>
    <t>Centre de Gestion de l'Orne</t>
  </si>
  <si>
    <t>Cf. p7 Précisions méthodologiques pour les groupes d'absences         Taux d'absentéisme : nombre de jours d'absence / (nombre total d'agents x 365)</t>
  </si>
  <si>
    <r>
      <rPr>
        <b/>
        <vertAlign val="superscript"/>
        <sz val="11.5"/>
        <color theme="4"/>
        <rFont val="Century Gothic"/>
        <family val="2"/>
      </rPr>
      <t>2</t>
    </r>
    <r>
      <rPr>
        <b/>
        <sz val="11.5"/>
        <color theme="4"/>
        <rFont val="Century Gothic"/>
        <family val="2"/>
      </rPr>
      <t>Formules de calcul - Taux d'absentéisme</t>
    </r>
  </si>
  <si>
    <r>
      <rPr>
        <b/>
        <sz val="10"/>
        <color indexed="51"/>
        <rFont val="Calibri"/>
        <family val="2"/>
      </rPr>
      <t xml:space="preserve">Note de lecture : 
</t>
    </r>
    <r>
      <rPr>
        <sz val="10"/>
        <rFont val="Calibri"/>
        <family val="2"/>
      </rPr>
      <t>Si le taux d’absentéisme est de 8 %, cela signifie que pour 100 agents de la collectivité, un équivalent de 8 agents a été absent toute l’année.</t>
    </r>
  </si>
  <si>
    <t>Bourgogne</t>
  </si>
  <si>
    <t>Centre de Gestion de la Côte d'Or</t>
  </si>
  <si>
    <t>Rémunération moyenne par équivalent temps plein rémunéré des agents permanents</t>
  </si>
  <si>
    <t>Centre de Gestion de la Nièvre</t>
  </si>
  <si>
    <t>Assistants de conservation du patrimoine et des bibliothèque</t>
  </si>
  <si>
    <t>Nombre de jours calendaires d'absence</t>
  </si>
  <si>
    <t>x 100</t>
  </si>
  <si>
    <t>Centre de Gestion de Saône-et-Loire</t>
  </si>
  <si>
    <t>* Variation des effectifs :</t>
  </si>
  <si>
    <t>Centre de Gestion de l'Yonne</t>
  </si>
  <si>
    <t>Adjoints du patrimoine</t>
  </si>
  <si>
    <t>Titulaire</t>
  </si>
  <si>
    <t>Contractuel</t>
  </si>
  <si>
    <t>Les journées d’absence sont décomptées en jours calendaires pour respecter les saisies réalisées dans les logiciels de paie</t>
  </si>
  <si>
    <t>Bretagne</t>
  </si>
  <si>
    <t>Centre de Gestion des Côtes d'Armor</t>
  </si>
  <si>
    <t>Administrative</t>
  </si>
  <si>
    <t>Centre de Gestion du Finistère</t>
  </si>
  <si>
    <t>Technique</t>
  </si>
  <si>
    <t xml:space="preserve">3 « groupes d’absences » </t>
  </si>
  <si>
    <t>Centre de Gestion d'Ille-et-Vilaine</t>
  </si>
  <si>
    <t>Culturelle</t>
  </si>
  <si>
    <t>Centre de Gestion du Morbihan</t>
  </si>
  <si>
    <t>Sportive</t>
  </si>
  <si>
    <r>
      <rPr>
        <b/>
        <sz val="11"/>
        <color indexed="30"/>
        <rFont val="Calibri"/>
        <family val="2"/>
      </rPr>
      <t>1. Absences compressibles :</t>
    </r>
    <r>
      <rPr>
        <b/>
        <sz val="10"/>
        <color indexed="30"/>
        <rFont val="Calibri"/>
        <family val="2"/>
      </rPr>
      <t xml:space="preserve"> 
</t>
    </r>
    <r>
      <rPr>
        <sz val="10"/>
        <rFont val="Calibri"/>
        <family val="2"/>
      </rPr>
      <t>Maladie ordinaire et accidents du travail</t>
    </r>
  </si>
  <si>
    <r>
      <rPr>
        <b/>
        <sz val="11"/>
        <color indexed="30"/>
        <rFont val="Calibri"/>
        <family val="2"/>
      </rPr>
      <t>2. Absences médicales :</t>
    </r>
    <r>
      <rPr>
        <b/>
        <sz val="10"/>
        <color indexed="30"/>
        <rFont val="Calibri"/>
        <family val="2"/>
      </rPr>
      <t xml:space="preserve"> 
</t>
    </r>
    <r>
      <rPr>
        <i/>
        <sz val="10"/>
        <rFont val="Calibri"/>
        <family val="2"/>
      </rPr>
      <t>Absences compressibles</t>
    </r>
    <r>
      <rPr>
        <sz val="10"/>
        <rFont val="Calibri"/>
        <family val="2"/>
      </rPr>
      <t xml:space="preserve"> + longue maladie, maladie de longue durée, grave maladie, maladie professionnelle</t>
    </r>
  </si>
  <si>
    <r>
      <rPr>
        <b/>
        <sz val="11"/>
        <color indexed="30"/>
        <rFont val="Calibri"/>
        <family val="2"/>
      </rPr>
      <t xml:space="preserve">3. Absences Globales : 
</t>
    </r>
    <r>
      <rPr>
        <i/>
        <sz val="10"/>
        <rFont val="Calibri"/>
        <family val="2"/>
      </rPr>
      <t>Absences médicales</t>
    </r>
    <r>
      <rPr>
        <sz val="10"/>
        <rFont val="Calibri"/>
        <family val="2"/>
      </rPr>
      <t xml:space="preserve"> + maternité, paternité adoption, autres raisons*</t>
    </r>
  </si>
  <si>
    <t>Centre</t>
  </si>
  <si>
    <t>Centre de Gestion du Cher</t>
  </si>
  <si>
    <t xml:space="preserve"> Pyramide des âges 
des agents sur emploi permanent </t>
  </si>
  <si>
    <t>Médico-sociale</t>
  </si>
  <si>
    <t>Centre de Gestion d'Eure-et-Loir</t>
  </si>
  <si>
    <t>Police</t>
  </si>
  <si>
    <t>Centre de Gestion de l'Indre</t>
  </si>
  <si>
    <t>Incendie</t>
  </si>
  <si>
    <t>Centre de Gestion d'Indre-et-Loire</t>
  </si>
  <si>
    <t>ATSEM</t>
  </si>
  <si>
    <t>Animation</t>
  </si>
  <si>
    <t>L’action sociale de la collectivité</t>
  </si>
  <si>
    <t>* Les absences pour "autres raisons" correspondent aux autorisations spéciales d'absences (motif familial, concours…)  
Ne sont pas comptabilisés les jours de formation et les absences pour motif syndical ou de représentation.</t>
  </si>
  <si>
    <t>Centre de Gestion du Loir-et-Cher</t>
  </si>
  <si>
    <t>Toutes filières</t>
  </si>
  <si>
    <t>Centre de Gestion du Loiret</t>
  </si>
  <si>
    <t>*s : secret statistique appliqué en dessous de 2 ETPR</t>
  </si>
  <si>
    <t>Champagne</t>
  </si>
  <si>
    <t>Centre de Gestion des Ardennes</t>
  </si>
  <si>
    <t>Psychologues</t>
  </si>
  <si>
    <t>En raison de certains arrondis, la somme des pourcentages peut ne pas être égale à 100 %</t>
  </si>
  <si>
    <t>Centre de Gestion de l'Aube</t>
  </si>
  <si>
    <t>Centre de Gestion de la Marne</t>
  </si>
  <si>
    <t>Centre de Gestion de Haute-Marne</t>
  </si>
  <si>
    <t xml:space="preserve">FORMATION </t>
  </si>
  <si>
    <t>2A</t>
  </si>
  <si>
    <t>Corse</t>
  </si>
  <si>
    <t>Centre de Gestion de Corse du Sud</t>
  </si>
  <si>
    <t>Filière</t>
  </si>
  <si>
    <t>Tous</t>
  </si>
  <si>
    <t>Part du régime indemnitaire sur les rémunérations par catégorie et par statut</t>
  </si>
  <si>
    <t>2B</t>
  </si>
  <si>
    <t>Centre de Gestion de la Haute-Corse</t>
  </si>
  <si>
    <t>Franche-Comté</t>
  </si>
  <si>
    <t>Centre de Gestion du Doubs</t>
  </si>
  <si>
    <t>* L'âge moyen est calculé sur la base des tranches d'âge</t>
  </si>
  <si>
    <t xml:space="preserve">(ex. : restauration, chèques vacances…) </t>
  </si>
  <si>
    <t>Centre de Gestion du Jura</t>
  </si>
  <si>
    <t>Centre de Gestion de Haute-Saône</t>
  </si>
  <si>
    <t>Centre de Gestion du Territoire-de-Belfort</t>
  </si>
  <si>
    <t>Haute-Normandie</t>
  </si>
  <si>
    <t>Centre de Gestion de l'Eure</t>
  </si>
  <si>
    <t>Seules les collectivités de plus de 20 agents équivalent temps plein sont soumises à l'obligation d'emploi de travailleurs handicapés à hauteur de 6 % des effectifs.</t>
  </si>
  <si>
    <t xml:space="preserve">DÉPENSES </t>
  </si>
  <si>
    <t>L'outil automatisé permettant la réalisation de cette synthèse a été développé par l'Observatoire de l'emploi et de la FPT de Nouvelle-Aquitaine en partenariat avec le Comité Technique des Chargés d'études des Observatoires Régionaux des Centres de Gestion.</t>
  </si>
  <si>
    <t>Centre de Gestion de la Seine-Maritime</t>
  </si>
  <si>
    <t>Biologistes-vétérinaires-pharmaciens</t>
  </si>
  <si>
    <t>Ile-de-France</t>
  </si>
  <si>
    <t>Centre Interdépartemental de Gestion de la Grande Couronne de la Région d'Ile-de-France</t>
  </si>
  <si>
    <t xml:space="preserve">Techniciens paramédicaux </t>
  </si>
  <si>
    <t>Répartition des ETPR permanents par catégorie</t>
  </si>
  <si>
    <t xml:space="preserve">Jours de grève </t>
  </si>
  <si>
    <t>Centre de Gestion de Seine-et-Marne</t>
  </si>
  <si>
    <t>Répartition par genre et par statut</t>
  </si>
  <si>
    <r>
      <t>Sanctions 1</t>
    </r>
    <r>
      <rPr>
        <vertAlign val="superscript"/>
        <sz val="10"/>
        <rFont val="Calibri"/>
        <family val="2"/>
        <scheme val="minor"/>
      </rPr>
      <t>er</t>
    </r>
    <r>
      <rPr>
        <sz val="10"/>
        <rFont val="Calibri"/>
        <family val="2"/>
        <scheme val="minor"/>
      </rPr>
      <t xml:space="preserve"> groupe</t>
    </r>
  </si>
  <si>
    <t>Centre Interdépartemental de Gestion de la Petite Couronne de la Région d'Ile-de-France</t>
  </si>
  <si>
    <r>
      <t>Sanctions 2</t>
    </r>
    <r>
      <rPr>
        <vertAlign val="superscript"/>
        <sz val="10"/>
        <rFont val="Calibri"/>
        <family val="2"/>
        <scheme val="minor"/>
      </rPr>
      <t>ème</t>
    </r>
    <r>
      <rPr>
        <sz val="10"/>
        <rFont val="Calibri"/>
        <family val="2"/>
        <scheme val="minor"/>
      </rPr>
      <t xml:space="preserve"> groupe</t>
    </r>
  </si>
  <si>
    <t>% d'agents</t>
  </si>
  <si>
    <r>
      <t>Sanctions 3</t>
    </r>
    <r>
      <rPr>
        <vertAlign val="superscript"/>
        <sz val="10"/>
        <rFont val="Calibri"/>
        <family val="2"/>
        <scheme val="minor"/>
      </rPr>
      <t>ème</t>
    </r>
    <r>
      <rPr>
        <sz val="10"/>
        <rFont val="Calibri"/>
        <family val="2"/>
        <scheme val="minor"/>
      </rPr>
      <t xml:space="preserve"> groupe</t>
    </r>
  </si>
  <si>
    <t>Date de publication :</t>
  </si>
  <si>
    <t>Capitaines, commandants, lieutenants-colonels, colonels</t>
  </si>
  <si>
    <r>
      <t>Sanctions 4</t>
    </r>
    <r>
      <rPr>
        <vertAlign val="superscript"/>
        <sz val="10"/>
        <rFont val="Calibri"/>
        <family val="2"/>
        <scheme val="minor"/>
      </rPr>
      <t>ème</t>
    </r>
    <r>
      <rPr>
        <sz val="10"/>
        <rFont val="Calibri"/>
        <family val="2"/>
        <scheme val="minor"/>
      </rPr>
      <t xml:space="preserve"> groupe</t>
    </r>
  </si>
  <si>
    <t>Languedoc</t>
  </si>
  <si>
    <t>Centre de Gestion de l'Aude</t>
  </si>
  <si>
    <t>Lieutenants de sapeurs-pompiers professionnels</t>
  </si>
  <si>
    <t>Centre de Gestion du Gard</t>
  </si>
  <si>
    <t>Centre de Gestion de l'Hérault</t>
  </si>
  <si>
    <t>Infirmiers de sapeurs-pompiers professionnels</t>
  </si>
  <si>
    <t>Centre de Gestion de la Lozère</t>
  </si>
  <si>
    <t>Sous officiers de sapeurs-pompiers professionnels</t>
  </si>
  <si>
    <t>Centre de Gestion des Pyrénées-Orientales</t>
  </si>
  <si>
    <t>Sapeurs et caporaux de sapeurs-pompiers professionnels</t>
  </si>
  <si>
    <t>Limousin</t>
  </si>
  <si>
    <t>Centre de Gestion de la Corrèze</t>
  </si>
  <si>
    <t>Centre de Gestion de la Creuse</t>
  </si>
  <si>
    <t>Centre de Gestion de Haute-Vienne</t>
  </si>
  <si>
    <t>SOMME</t>
  </si>
  <si>
    <t>Lorraine</t>
  </si>
  <si>
    <t>Centre de Gestion de Meurthe-et-Moselle</t>
  </si>
  <si>
    <t>Nombre de fonctionnaires ayant connu au cours de l'année un avancement de grade à la suite d'une :</t>
  </si>
  <si>
    <t>Participation Santé ou prévoyance</t>
  </si>
  <si>
    <t>Centre de Gestion de la Meuse</t>
  </si>
  <si>
    <t>Permanent</t>
  </si>
  <si>
    <t>Nombre</t>
  </si>
  <si>
    <t>,</t>
  </si>
  <si>
    <t xml:space="preserve">Femmes </t>
  </si>
  <si>
    <t>promotion au choix</t>
  </si>
  <si>
    <t>% masse salariale sur dép de fonc</t>
  </si>
  <si>
    <t>Travailleurs handicapés</t>
  </si>
  <si>
    <t>Santé</t>
  </si>
  <si>
    <t>Prévoyance</t>
  </si>
  <si>
    <t>Centre de Gestion de la Moselle</t>
  </si>
  <si>
    <t>moins de 30 ans</t>
  </si>
  <si>
    <t>réussite à un examen professionnel de promotion interne :</t>
  </si>
  <si>
    <t>Centre de Gestion des Vosges</t>
  </si>
  <si>
    <t>Entre 30 et 50 ans</t>
  </si>
  <si>
    <t>Emploi permanent</t>
  </si>
  <si>
    <t>Midi-Pyrénées</t>
  </si>
  <si>
    <t>Centre de Gestion de l'Ariège</t>
  </si>
  <si>
    <t>Plus de 50 ans</t>
  </si>
  <si>
    <t xml:space="preserve">  - n'ayant pas entrainé une "nomination stagiaire"</t>
  </si>
  <si>
    <t>Part des primes sur rémunérations annuelles butes</t>
  </si>
  <si>
    <t>Non permanent</t>
  </si>
  <si>
    <t>Centre de Gestion de l'Aveyron</t>
  </si>
  <si>
    <t>Temps plein</t>
  </si>
  <si>
    <t>Temps partiel</t>
  </si>
  <si>
    <t>réussite à un concours :</t>
  </si>
  <si>
    <t>Centre de Gestion de Haute-Garonne</t>
  </si>
  <si>
    <t>Total départ de fonctionnaires</t>
  </si>
  <si>
    <t>Prime</t>
  </si>
  <si>
    <t>Rémunération ann B</t>
  </si>
  <si>
    <t>cotisation COS</t>
  </si>
  <si>
    <t>Centre de Gestion du Gers</t>
  </si>
  <si>
    <t>Total Agents au 31/12</t>
  </si>
  <si>
    <t>Total départ de contractuels</t>
  </si>
  <si>
    <t xml:space="preserve"> - n'ayant pas entrainé "une nomination stagiaire"</t>
  </si>
  <si>
    <t>Travailleurs handicapés par catégorie</t>
  </si>
  <si>
    <t>Propre</t>
  </si>
  <si>
    <t>Centre de Gestion du Lot</t>
  </si>
  <si>
    <t>Fonct°</t>
  </si>
  <si>
    <t>Emploi aidé</t>
  </si>
  <si>
    <t>Inter</t>
  </si>
  <si>
    <t>Centre de Gestion des Hautes-Pyrénées</t>
  </si>
  <si>
    <t>Cont Perm</t>
  </si>
  <si>
    <t>Graphique % de temps non complet par filières et  par statut</t>
  </si>
  <si>
    <t>H</t>
  </si>
  <si>
    <t>F</t>
  </si>
  <si>
    <t>Donc</t>
  </si>
  <si>
    <t>Centre de Gestion du Tarn</t>
  </si>
  <si>
    <t>Cont N Perm</t>
  </si>
  <si>
    <t>saisonniers</t>
  </si>
  <si>
    <t>Centre de Gestion du Tarn-et-Garonne</t>
  </si>
  <si>
    <t>Nb agent Temps non complet</t>
  </si>
  <si>
    <t>CEP</t>
  </si>
  <si>
    <t xml:space="preserve">Total </t>
  </si>
  <si>
    <t>Prestation servies par coll</t>
  </si>
  <si>
    <t>Nord</t>
  </si>
  <si>
    <t>Centre de Gestion du Nord</t>
  </si>
  <si>
    <t>Nb agent Temps partiel</t>
  </si>
  <si>
    <t>Promotion choix</t>
  </si>
  <si>
    <t>Centre de Gestion du Pas-de-Calais</t>
  </si>
  <si>
    <t>Tranche d'âge</t>
  </si>
  <si>
    <t>Titulaires</t>
  </si>
  <si>
    <t>Permanents</t>
  </si>
  <si>
    <t>N-perma</t>
  </si>
  <si>
    <t>Jours de carence</t>
  </si>
  <si>
    <t>Normandie</t>
  </si>
  <si>
    <t>Centre de Gestion de la Manche</t>
  </si>
  <si>
    <t>dt cont</t>
  </si>
  <si>
    <t>examen pro</t>
  </si>
  <si>
    <t>Pays-de-la-Loire</t>
  </si>
  <si>
    <t>Centre de Gestion de Loire-Atlantique</t>
  </si>
  <si>
    <t>dt femme</t>
  </si>
  <si>
    <t>25 - 29 ans</t>
  </si>
  <si>
    <t>Cotise ass chomage</t>
  </si>
  <si>
    <t>Centre de Gestion de Maine-et-Loire</t>
  </si>
  <si>
    <t>30 - 34 ans</t>
  </si>
  <si>
    <t>Concours</t>
  </si>
  <si>
    <t>Centre de Gestion de la Mayenne</t>
  </si>
  <si>
    <t>35 - 39 ans</t>
  </si>
  <si>
    <t>Centre de Gestion de la Sarthe</t>
  </si>
  <si>
    <t>40 - 44 ans</t>
  </si>
  <si>
    <t>fonc</t>
  </si>
  <si>
    <t>Centre de Gestion de la Vendée</t>
  </si>
  <si>
    <t>ETPR</t>
  </si>
  <si>
    <t>45 - 49 ans</t>
  </si>
  <si>
    <t>Picardie</t>
  </si>
  <si>
    <t>Centre de Gestion de l'Aisne</t>
  </si>
  <si>
    <t>50 - 54 ans</t>
  </si>
  <si>
    <t>Nbre d'allocataire (contractuels</t>
  </si>
  <si>
    <t>Centre de Gestion de l'Oise</t>
  </si>
  <si>
    <t>55 - 59 ans</t>
  </si>
  <si>
    <t>Graphique % Temps partiel hommes / femmes</t>
  </si>
  <si>
    <t>Départs</t>
  </si>
  <si>
    <t>Centre de Gestion de la Somme</t>
  </si>
  <si>
    <t>60 - 64 ans</t>
  </si>
  <si>
    <t>% - FC +C</t>
  </si>
  <si>
    <t>Poitou-Charente</t>
  </si>
  <si>
    <t>Centre de Gestion de la Charente</t>
  </si>
  <si>
    <t>65 ans ou plus</t>
  </si>
  <si>
    <t>Rémunéré</t>
  </si>
  <si>
    <t>Mise à disposition</t>
  </si>
  <si>
    <t>Centre de Gestion de la Charente Maritime</t>
  </si>
  <si>
    <t>Décharge de service</t>
  </si>
  <si>
    <t>Centre de Gestion des Deux-Sèvres</t>
  </si>
  <si>
    <t>MOYENNE</t>
  </si>
  <si>
    <t>Congé spécial</t>
  </si>
  <si>
    <t>Nbre d'allocataire (fonctionaires)</t>
  </si>
  <si>
    <t>Centre de Gestion de la Vienne</t>
  </si>
  <si>
    <t>Non rémunéré</t>
  </si>
  <si>
    <t>Congé formation indemnisé</t>
  </si>
  <si>
    <t>Provence-Alpes-Côte d'Azur</t>
  </si>
  <si>
    <t>Centre de Gestion des Alpes de Haute-Provence</t>
  </si>
  <si>
    <t>Congé formation &gt; à un an</t>
  </si>
  <si>
    <t>Centre de Gestion des Hautes-Alpes</t>
  </si>
  <si>
    <t>Détachement</t>
  </si>
  <si>
    <t>Répartition des jours de formation</t>
  </si>
  <si>
    <t>Centre de Gestion des Alpes-Maritimes</t>
  </si>
  <si>
    <t>Mise en disponibilité</t>
  </si>
  <si>
    <t>Centre de Gestion des Bouches du Rhône</t>
  </si>
  <si>
    <t>Congé parental</t>
  </si>
  <si>
    <t>Centre de Gestion du Var</t>
  </si>
  <si>
    <t>Congés sans traitement</t>
  </si>
  <si>
    <t>AJOUT RIFSEEP ?</t>
  </si>
  <si>
    <t>CIA ?</t>
  </si>
  <si>
    <t>HS / HC</t>
  </si>
  <si>
    <t>Centre de Gestion du Vaucluse</t>
  </si>
  <si>
    <t>Mutation</t>
  </si>
  <si>
    <t>Rhône-Alpes</t>
  </si>
  <si>
    <t>Centre de Gestion de l'Ain</t>
  </si>
  <si>
    <t xml:space="preserve">Fin de détachement </t>
  </si>
  <si>
    <t>Centre de Gestion de l'Ardèche</t>
  </si>
  <si>
    <t>Décharge d'emploi et de fonction</t>
  </si>
  <si>
    <t>Nombre de jours de formation</t>
  </si>
  <si>
    <t>Centre de Gestion de la Drôme</t>
  </si>
  <si>
    <t>Agent pris en charge par le CNFPT ou le CDG</t>
  </si>
  <si>
    <t xml:space="preserve">Agent sur emploi permanent ayant participé à au moins une formation </t>
  </si>
  <si>
    <t>Centre de Gestion de l'Isère</t>
  </si>
  <si>
    <t>Démission</t>
  </si>
  <si>
    <t>Centre de Gestion de la Loire</t>
  </si>
  <si>
    <t>Fin de contrats remplacants</t>
  </si>
  <si>
    <t>Centre de Gestion du Rhône</t>
  </si>
  <si>
    <t>Centre de Gestion de la Savoie</t>
  </si>
  <si>
    <t>Départ à la retraite</t>
  </si>
  <si>
    <t>Total jours format° hors hors catégorie</t>
  </si>
  <si>
    <t>Centre de Gestion de la Haute-Savoie</t>
  </si>
  <si>
    <t>Guadeloupe</t>
  </si>
  <si>
    <t>Centre de Gestion de la Guadeloupe</t>
  </si>
  <si>
    <t>Décès</t>
  </si>
  <si>
    <t>Total toutes catégories</t>
  </si>
  <si>
    <t>Martinique</t>
  </si>
  <si>
    <t>Centre dee Gestion de la Martinique</t>
  </si>
  <si>
    <t>Guyane</t>
  </si>
  <si>
    <t>Centre de Gestion de la Guyane</t>
  </si>
  <si>
    <t>7 lignes</t>
  </si>
  <si>
    <t>VAE</t>
  </si>
  <si>
    <t>Réunion</t>
  </si>
  <si>
    <t>Centre de Gestion de la Réunion</t>
  </si>
  <si>
    <t>Totaux</t>
  </si>
  <si>
    <t>Mayotte</t>
  </si>
  <si>
    <t>Centre de Gestion de Mayotte</t>
  </si>
  <si>
    <t xml:space="preserve">Répartition des jours de formations </t>
  </si>
  <si>
    <t>Légende</t>
  </si>
  <si>
    <t>Départs fonctionnaire</t>
  </si>
  <si>
    <t>Coûts de formation</t>
  </si>
  <si>
    <t>Départs de contractuels</t>
  </si>
  <si>
    <t>Interne</t>
  </si>
  <si>
    <t>1.5.4</t>
  </si>
  <si>
    <t>Nomimation stagiaire au sein de la collectivité (Contractuel permanent)</t>
  </si>
  <si>
    <t>Nomimation stagiaire au sein de la collectivité (Contractuel non permanent)</t>
  </si>
  <si>
    <t>total max</t>
  </si>
  <si>
    <t>Arrivées hors conctractuels déjà présents</t>
  </si>
  <si>
    <t>% FC + C</t>
  </si>
  <si>
    <t>Arrivée de fonctionnaires hors contractuels permanents déjà présents</t>
  </si>
  <si>
    <t>agents non rémunérés</t>
  </si>
  <si>
    <t>Recrutement direct</t>
  </si>
  <si>
    <t>Voie de concours, sélection professionnelle</t>
  </si>
  <si>
    <t xml:space="preserve">Intégration directe </t>
  </si>
  <si>
    <t>Voie de détachement</t>
  </si>
  <si>
    <t>Réintégration et retour</t>
  </si>
  <si>
    <t>Arrivées de contractuels</t>
  </si>
  <si>
    <t>Remplacements (contractuels)</t>
  </si>
  <si>
    <t>agents rémunérés</t>
  </si>
  <si>
    <t>1.5.2</t>
  </si>
  <si>
    <t>recrutement direct</t>
  </si>
  <si>
    <t>lauréat concours</t>
  </si>
  <si>
    <t>Arrivées fonctionnaire</t>
  </si>
  <si>
    <t>Effectif 31/12/N-1</t>
  </si>
  <si>
    <t>Arrivée</t>
  </si>
  <si>
    <t>Contractuels nommés stagiaires</t>
  </si>
  <si>
    <t>Départ</t>
  </si>
  <si>
    <t>Effectif 31/12/N</t>
  </si>
  <si>
    <t>Variation</t>
  </si>
  <si>
    <t>-</t>
  </si>
  <si>
    <t>Fonctionnaire</t>
  </si>
  <si>
    <t>Rémunération</t>
  </si>
  <si>
    <t>total</t>
  </si>
  <si>
    <t>RIFSEEP</t>
  </si>
  <si>
    <t>SYNTHÈSE DU RAPPORT SOCIAL UNIQUE 2020</t>
  </si>
  <si>
    <t>Nombre de sanctions prononcées concernant les fonctionnaires en 2020</t>
  </si>
  <si>
    <t>Pour les fonctionnaires : 
Total de l'effectif physique rémunéré des fonctionnaires au 31/12/2020 
     + Départs définitifs de titulaires ou de stagiaires 
     + Départs temporaires non rémunérés
     - Arrivées de titulaires ou de stagiaires
     - Stagiairisation de contractuels de la collectivité 
     - Retours de titulaires stagiaires</t>
  </si>
  <si>
    <t>Pour les contractuels permanents : 
Total de l'effectif physique rémunéré des contractuels au 31/12/2020 
   + Départs définitifs de contractuels
   + Départs temporaires non rémunérés
   + Stagiairisation de contractuels de la collectivité
   - Arrivées de contractuels 
   - Retours de contractuels</t>
  </si>
  <si>
    <t>Effectif physique au 31/12/2020</t>
  </si>
  <si>
    <t>Nombre d'agents au 31/12/2020 x 365</t>
  </si>
  <si>
    <t>entre le 1er janvier et le 31 décembre 2020</t>
  </si>
  <si>
    <t>1Formules de calcul - Effectif théorique au 31/12/2019</t>
  </si>
  <si>
    <t xml:space="preserve">Pour l'ensemble des agents permanents :
        Effectif théorique des fonctionnaires au 31/12/2019
     + Effectif théorique des contractuels permanents au 31/12/2019
</t>
  </si>
  <si>
    <t xml:space="preserve"> (effectif physique rémunéré au 31/12/2020 - effectif physique théorique rémunéré au 31/12/2019)  /</t>
  </si>
  <si>
    <t>(Effectif physique théorique rémunéré au 31/12/2019)</t>
  </si>
  <si>
    <t>Synthèse des principaux indicateurs du Rapport Social Unique 2020</t>
  </si>
  <si>
    <t xml:space="preserve">Cette fiche synthétique reprend les principaux indicateurs sociaux issus du Rapport Social Unique 2020. Les données utilisées sont extraites du Rapport sur l'État de la Collectivité 2020 transmis en 2021 par la collectivité. Ces données ont pour objectif de bénéficier d'une vue d'ensemble sur les effectifs de la collectivité. </t>
  </si>
  <si>
    <t>Cette fiche synthétique reprend les principaux indicateurs sociaux issus du RSU 2020. Ces données ont pour objectif de bénéficier d'une vue d'ensemble sur les effectifs de la collectivité. 
L'outil automatisé permettant la réalisation de cette synthèse a été développé par le Comité Technique des Chargés d'études des Observatoires Régionaux des Centres de Gestion.</t>
  </si>
  <si>
    <t>Editer une Synthèse chiffrée et graphique 
de votre RSU</t>
  </si>
  <si>
    <r>
      <t>Effectif physique théorique au 31/12/2019</t>
    </r>
    <r>
      <rPr>
        <b/>
        <vertAlign val="superscript"/>
        <sz val="9"/>
        <rFont val="Calibri"/>
        <family val="2"/>
      </rPr>
      <t>1</t>
    </r>
  </si>
  <si>
    <t>Nombre d'agents sur emploi permanent au 31/12/2019</t>
  </si>
  <si>
    <t xml:space="preserve">Version 4  </t>
  </si>
  <si>
    <t>Version 4</t>
  </si>
  <si>
    <t>VILLE DE NICE</t>
  </si>
  <si>
    <t>PENSA</t>
  </si>
  <si>
    <t>0497132255</t>
  </si>
  <si>
    <t>06300</t>
  </si>
  <si>
    <t>stephane.pensa@ville-nice.fr</t>
  </si>
  <si>
    <t>21060088800015</t>
  </si>
  <si>
    <t/>
  </si>
  <si>
    <t>IND 7.1.3 : Vous devez renseigner la demande formulée (cellule B32).</t>
  </si>
  <si>
    <t>IND 7.1.3 : Vous devez renseigner la demande formulée (cellule B33).</t>
  </si>
  <si>
    <t>IND 7.1.3 : Vous devez renseigner la demande formulée (cellule B34).</t>
  </si>
</sst>
</file>

<file path=xl/styles.xml><?xml version="1.0" encoding="utf-8"?>
<styleSheet xmlns="http://schemas.openxmlformats.org/spreadsheetml/2006/main">
  <numFmts count="26">
    <numFmt numFmtId="164" formatCode="_-* #,##0.00&quot; F&quot;_-;\-* #,##0.00&quot; F&quot;_-;_-* \-??&quot; F&quot;_-;_-@_-"/>
    <numFmt numFmtId="165" formatCode="0#\ ##\ ##\ ##\ ##"/>
    <numFmt numFmtId="166" formatCode="00000"/>
    <numFmt numFmtId="167" formatCode="#,##0.00\ _F"/>
    <numFmt numFmtId="168" formatCode="###,###,###,##0&quot; €&quot;"/>
    <numFmt numFmtId="169" formatCode="#,##0.0"/>
    <numFmt numFmtId="170" formatCode="0.0"/>
    <numFmt numFmtId="171" formatCode="#,##0\ [$€-40C]"/>
    <numFmt numFmtId="172" formatCode="_(* #,##0.00_);_(* \(#,##0.00\);_(* &quot;-&quot;??_);_(@_)"/>
    <numFmt numFmtId="173" formatCode="0%;\–0%;;@"/>
    <numFmt numFmtId="174" formatCode="0;\–0;;@"/>
    <numFmt numFmtId="175" formatCode="_-* #,##0\ _€_-;\-* #,##0\ _€_-;_-* &quot;-&quot;??\ _€_-;_-@_-"/>
    <numFmt numFmtId="176" formatCode="#,###,##0\ &quot;€&quot;"/>
    <numFmt numFmtId="177" formatCode="0&quot; agent(s) recensé(s) dans la collectivité&quot;"/>
    <numFmt numFmtId="178" formatCode="0.0%"/>
    <numFmt numFmtId="179" formatCode="&quot;&gt; &quot;#,##0"/>
    <numFmt numFmtId="180" formatCode="#,##0\ &quot;€&quot;"/>
    <numFmt numFmtId="181" formatCode="0.00,&quot; % des &quot;"/>
    <numFmt numFmtId="182" formatCode="0.000"/>
    <numFmt numFmtId="183" formatCode="&quot;€&quot;#,##0_);[Red]\(&quot;€&quot;#,##0\)"/>
    <numFmt numFmtId="184" formatCode="0%;\-0%;;@"/>
    <numFmt numFmtId="185" formatCode="#,##0.000"/>
    <numFmt numFmtId="186" formatCode="\ mmmm\ yyyy"/>
    <numFmt numFmtId="187" formatCode="0%;\–0%;;@\ "/>
    <numFmt numFmtId="188" formatCode="0%;0%;;@"/>
    <numFmt numFmtId="189" formatCode="#,##0.00\ &quot;€&quot;"/>
  </numFmts>
  <fonts count="25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b/>
      <sz val="10"/>
      <color indexed="9"/>
      <name val="Arial"/>
      <family val="2"/>
    </font>
    <font>
      <sz val="11"/>
      <color indexed="8"/>
      <name val="Calibri"/>
      <family val="2"/>
    </font>
    <font>
      <b/>
      <sz val="10"/>
      <name val="Arial"/>
      <family val="2"/>
    </font>
    <font>
      <b/>
      <sz val="10"/>
      <color indexed="12"/>
      <name val="Arial"/>
      <family val="2"/>
    </font>
    <font>
      <sz val="10"/>
      <color indexed="12"/>
      <name val="Arial"/>
      <family val="2"/>
    </font>
    <font>
      <b/>
      <u/>
      <sz val="10"/>
      <color indexed="10"/>
      <name val="Arial"/>
      <family val="2"/>
    </font>
    <font>
      <b/>
      <sz val="10"/>
      <color indexed="10"/>
      <name val="Arial"/>
      <family val="2"/>
    </font>
    <font>
      <b/>
      <sz val="12"/>
      <color indexed="12"/>
      <name val="Arial"/>
      <family val="2"/>
    </font>
    <font>
      <b/>
      <sz val="12"/>
      <name val="Arial"/>
      <family val="2"/>
    </font>
    <font>
      <u/>
      <sz val="10"/>
      <color indexed="30"/>
      <name val="Arial"/>
      <family val="2"/>
    </font>
    <font>
      <b/>
      <sz val="9"/>
      <name val="Arial"/>
      <family val="2"/>
    </font>
    <font>
      <b/>
      <sz val="8"/>
      <name val="Arial"/>
      <family val="2"/>
    </font>
    <font>
      <sz val="8"/>
      <name val="Arial"/>
      <family val="2"/>
    </font>
    <font>
      <sz val="9"/>
      <name val="Arial"/>
      <family val="2"/>
    </font>
    <font>
      <b/>
      <sz val="11"/>
      <name val="Arial"/>
      <family val="2"/>
    </font>
    <font>
      <b/>
      <i/>
      <sz val="10"/>
      <name val="Arial"/>
      <family val="2"/>
    </font>
    <font>
      <b/>
      <sz val="26"/>
      <name val="Arial"/>
      <family val="2"/>
    </font>
    <font>
      <b/>
      <sz val="14"/>
      <name val="Arial"/>
      <family val="2"/>
    </font>
    <font>
      <i/>
      <sz val="10"/>
      <name val="Arial"/>
      <family val="2"/>
    </font>
    <font>
      <u/>
      <sz val="10"/>
      <name val="Arial"/>
      <family val="2"/>
    </font>
    <font>
      <i/>
      <u/>
      <sz val="10"/>
      <name val="Arial"/>
      <family val="2"/>
    </font>
    <font>
      <b/>
      <i/>
      <sz val="10"/>
      <color indexed="10"/>
      <name val="Arial"/>
      <family val="2"/>
    </font>
    <font>
      <b/>
      <strike/>
      <sz val="9"/>
      <name val="Arial"/>
      <family val="2"/>
    </font>
    <font>
      <b/>
      <u/>
      <sz val="10"/>
      <name val="Arial"/>
      <family val="2"/>
    </font>
    <font>
      <i/>
      <sz val="9"/>
      <name val="Arial"/>
      <family val="2"/>
    </font>
    <font>
      <b/>
      <i/>
      <sz val="9"/>
      <name val="Arial"/>
      <family val="2"/>
    </font>
    <font>
      <u/>
      <sz val="9"/>
      <name val="Arial"/>
      <family val="2"/>
    </font>
    <font>
      <b/>
      <i/>
      <sz val="8"/>
      <name val="Arial"/>
      <family val="2"/>
    </font>
    <font>
      <sz val="10"/>
      <name val="Arial"/>
      <family val="2"/>
    </font>
    <font>
      <sz val="8"/>
      <name val="MS Sans Serif"/>
      <family val="2"/>
    </font>
    <font>
      <b/>
      <i/>
      <sz val="8"/>
      <name val="MS Sans Serif"/>
      <family val="2"/>
    </font>
    <font>
      <i/>
      <sz val="10"/>
      <color indexed="8"/>
      <name val="Arial"/>
      <family val="2"/>
    </font>
    <font>
      <b/>
      <sz val="9"/>
      <color indexed="9"/>
      <name val="Arial"/>
      <family val="2"/>
    </font>
    <font>
      <u/>
      <sz val="9"/>
      <color indexed="30"/>
      <name val="Arial"/>
      <family val="2"/>
    </font>
    <font>
      <i/>
      <sz val="9"/>
      <color indexed="8"/>
      <name val="Arial"/>
      <family val="2"/>
    </font>
    <font>
      <b/>
      <sz val="9"/>
      <color indexed="10"/>
      <name val="Arial"/>
      <family val="2"/>
    </font>
    <font>
      <i/>
      <strike/>
      <sz val="9"/>
      <name val="Arial"/>
      <family val="2"/>
    </font>
    <font>
      <sz val="9"/>
      <color indexed="9"/>
      <name val="Arial"/>
      <family val="2"/>
    </font>
    <font>
      <sz val="10"/>
      <color indexed="53"/>
      <name val="Arial"/>
      <family val="2"/>
    </font>
    <font>
      <b/>
      <sz val="10"/>
      <color indexed="53"/>
      <name val="Arial"/>
      <family val="2"/>
    </font>
    <font>
      <sz val="10"/>
      <color indexed="53"/>
      <name val="Arial"/>
      <family val="2"/>
    </font>
    <font>
      <sz val="9"/>
      <color indexed="8"/>
      <name val="Arial"/>
      <family val="2"/>
    </font>
    <font>
      <b/>
      <sz val="9"/>
      <color indexed="8"/>
      <name val="Arial"/>
      <family val="2"/>
    </font>
    <font>
      <i/>
      <sz val="9"/>
      <color indexed="8"/>
      <name val="Arial"/>
      <family val="2"/>
    </font>
    <font>
      <i/>
      <sz val="9"/>
      <color indexed="10"/>
      <name val="Arial"/>
      <family val="2"/>
    </font>
    <font>
      <b/>
      <i/>
      <sz val="9"/>
      <color indexed="10"/>
      <name val="Arial"/>
      <family val="2"/>
    </font>
    <font>
      <u/>
      <sz val="10"/>
      <color indexed="30"/>
      <name val="Arial"/>
      <family val="2"/>
    </font>
    <font>
      <sz val="10"/>
      <color indexed="30"/>
      <name val="Arial"/>
      <family val="2"/>
    </font>
    <font>
      <b/>
      <sz val="9"/>
      <color indexed="17"/>
      <name val="Arial"/>
      <family val="2"/>
    </font>
    <font>
      <b/>
      <i/>
      <sz val="10"/>
      <color indexed="8"/>
      <name val="Arial"/>
      <family val="2"/>
    </font>
    <font>
      <b/>
      <sz val="16"/>
      <name val="Arial"/>
      <family val="2"/>
    </font>
    <font>
      <sz val="11"/>
      <name val="Calibri"/>
      <family val="2"/>
    </font>
    <font>
      <sz val="10"/>
      <name val="Arial"/>
      <family val="2"/>
    </font>
    <font>
      <b/>
      <u/>
      <sz val="9"/>
      <name val="Arial"/>
      <family val="2"/>
    </font>
    <font>
      <sz val="9"/>
      <name val="Calibri"/>
      <family val="2"/>
    </font>
    <font>
      <b/>
      <sz val="10"/>
      <color indexed="52"/>
      <name val="Arial"/>
      <family val="2"/>
    </font>
    <font>
      <sz val="10"/>
      <color indexed="10"/>
      <name val="Arial"/>
      <family val="2"/>
    </font>
    <font>
      <b/>
      <sz val="10"/>
      <color indexed="10"/>
      <name val="Arial"/>
      <family val="2"/>
    </font>
    <font>
      <i/>
      <sz val="10"/>
      <color indexed="17"/>
      <name val="Arial"/>
      <family val="2"/>
    </font>
    <font>
      <b/>
      <i/>
      <sz val="10"/>
      <color indexed="10"/>
      <name val="Arial"/>
      <family val="2"/>
    </font>
    <font>
      <i/>
      <sz val="10"/>
      <color indexed="10"/>
      <name val="Arial"/>
      <family val="2"/>
    </font>
    <font>
      <b/>
      <sz val="9"/>
      <color indexed="10"/>
      <name val="Arial"/>
      <family val="2"/>
    </font>
    <font>
      <b/>
      <i/>
      <u/>
      <sz val="10"/>
      <name val="Arial"/>
      <family val="2"/>
    </font>
    <font>
      <b/>
      <i/>
      <sz val="9"/>
      <color indexed="10"/>
      <name val="Arial"/>
      <family val="2"/>
    </font>
    <font>
      <i/>
      <sz val="9"/>
      <color indexed="10"/>
      <name val="Arial"/>
      <family val="2"/>
    </font>
    <font>
      <i/>
      <u/>
      <sz val="9"/>
      <name val="Arial"/>
      <family val="2"/>
    </font>
    <font>
      <b/>
      <sz val="10"/>
      <color indexed="8"/>
      <name val="Arial"/>
      <family val="2"/>
    </font>
    <font>
      <b/>
      <sz val="9"/>
      <color indexed="17"/>
      <name val="Arial"/>
      <family val="2"/>
    </font>
    <font>
      <sz val="9"/>
      <color indexed="17"/>
      <name val="Arial"/>
      <family val="2"/>
    </font>
    <font>
      <b/>
      <u/>
      <sz val="9"/>
      <color indexed="10"/>
      <name val="Arial"/>
      <family val="2"/>
    </font>
    <font>
      <i/>
      <sz val="8"/>
      <color indexed="10"/>
      <name val="Arial"/>
      <family val="2"/>
    </font>
    <font>
      <b/>
      <i/>
      <sz val="8"/>
      <color indexed="10"/>
      <name val="Arial"/>
      <family val="2"/>
    </font>
    <font>
      <i/>
      <sz val="8"/>
      <name val="Arial"/>
      <family val="2"/>
    </font>
    <font>
      <i/>
      <sz val="11"/>
      <name val="Calibri"/>
      <family val="2"/>
    </font>
    <font>
      <b/>
      <sz val="11"/>
      <color indexed="10"/>
      <name val="Arial"/>
      <family val="2"/>
    </font>
    <font>
      <u/>
      <sz val="10"/>
      <color indexed="9"/>
      <name val="Arial"/>
      <family val="2"/>
    </font>
    <font>
      <sz val="10"/>
      <color indexed="9"/>
      <name val="Arial"/>
      <family val="2"/>
    </font>
    <font>
      <sz val="10"/>
      <name val="Arial"/>
      <family val="2"/>
      <charset val="1"/>
    </font>
    <font>
      <b/>
      <sz val="10"/>
      <name val="Arial"/>
      <family val="2"/>
      <charset val="1"/>
    </font>
    <font>
      <b/>
      <sz val="10"/>
      <color indexed="30"/>
      <name val="Arial"/>
      <family val="2"/>
      <charset val="1"/>
    </font>
    <font>
      <i/>
      <sz val="10"/>
      <name val="Arial"/>
      <family val="2"/>
      <charset val="1"/>
    </font>
    <font>
      <b/>
      <i/>
      <sz val="10"/>
      <name val="Arial"/>
      <family val="2"/>
      <charset val="1"/>
    </font>
    <font>
      <b/>
      <sz val="10"/>
      <color indexed="10"/>
      <name val="Arial"/>
      <family val="2"/>
      <charset val="1"/>
    </font>
    <font>
      <strike/>
      <sz val="10"/>
      <name val="Arial"/>
      <family val="2"/>
      <charset val="1"/>
    </font>
    <font>
      <b/>
      <u/>
      <sz val="10"/>
      <name val="Arial"/>
      <family val="2"/>
      <charset val="1"/>
    </font>
    <font>
      <b/>
      <i/>
      <sz val="10"/>
      <color indexed="10"/>
      <name val="Arial"/>
      <family val="2"/>
      <charset val="1"/>
    </font>
    <font>
      <b/>
      <i/>
      <u/>
      <sz val="10"/>
      <name val="Arial"/>
      <family val="2"/>
      <charset val="1"/>
    </font>
    <font>
      <i/>
      <u/>
      <sz val="10"/>
      <name val="Arial"/>
      <family val="2"/>
      <charset val="1"/>
    </font>
    <font>
      <u/>
      <sz val="10"/>
      <name val="Arial"/>
      <family val="2"/>
      <charset val="1"/>
    </font>
    <font>
      <vertAlign val="superscript"/>
      <sz val="10"/>
      <name val="Arial"/>
      <family val="2"/>
    </font>
    <font>
      <i/>
      <sz val="10"/>
      <color indexed="45"/>
      <name val="Arial"/>
      <family val="2"/>
      <charset val="1"/>
    </font>
    <font>
      <b/>
      <i/>
      <sz val="10"/>
      <color indexed="10"/>
      <name val="Arial"/>
      <family val="2"/>
      <charset val="1"/>
    </font>
    <font>
      <sz val="10"/>
      <color indexed="10"/>
      <name val="Arial"/>
      <family val="2"/>
      <charset val="1"/>
    </font>
    <font>
      <b/>
      <i/>
      <sz val="10"/>
      <color indexed="10"/>
      <name val="Arial"/>
      <family val="2"/>
    </font>
    <font>
      <i/>
      <sz val="10"/>
      <color indexed="45"/>
      <name val="Arial"/>
      <family val="2"/>
    </font>
    <font>
      <sz val="10"/>
      <color indexed="17"/>
      <name val="Arial"/>
      <family val="2"/>
      <charset val="1"/>
    </font>
    <font>
      <b/>
      <sz val="10"/>
      <color indexed="53"/>
      <name val="Arial"/>
      <family val="2"/>
      <charset val="1"/>
    </font>
    <font>
      <sz val="10"/>
      <color indexed="8"/>
      <name val="Arial"/>
      <family val="2"/>
    </font>
    <font>
      <i/>
      <u/>
      <sz val="10"/>
      <color indexed="8"/>
      <name val="Arial"/>
      <family val="2"/>
    </font>
    <font>
      <u/>
      <sz val="10"/>
      <color indexed="8"/>
      <name val="Arial"/>
      <family val="2"/>
    </font>
    <font>
      <u/>
      <sz val="10"/>
      <color indexed="30"/>
      <name val="Arial"/>
      <family val="2"/>
      <charset val="1"/>
    </font>
    <font>
      <b/>
      <i/>
      <sz val="10"/>
      <color indexed="10"/>
      <name val="Arial"/>
      <family val="2"/>
    </font>
    <font>
      <sz val="10"/>
      <color indexed="10"/>
      <name val="Arial"/>
      <family val="2"/>
      <charset val="1"/>
    </font>
    <font>
      <sz val="10"/>
      <color indexed="53"/>
      <name val="Arial"/>
      <family val="2"/>
      <charset val="1"/>
    </font>
    <font>
      <b/>
      <i/>
      <sz val="10"/>
      <color indexed="10"/>
      <name val="Arial"/>
      <family val="2"/>
      <charset val="1"/>
    </font>
    <font>
      <b/>
      <sz val="10"/>
      <color indexed="17"/>
      <name val="Arial"/>
      <family val="2"/>
      <charset val="1"/>
    </font>
    <font>
      <i/>
      <sz val="10"/>
      <color indexed="53"/>
      <name val="Arial"/>
      <family val="2"/>
    </font>
    <font>
      <sz val="9"/>
      <name val="Arial"/>
      <family val="2"/>
      <charset val="1"/>
    </font>
    <font>
      <sz val="10"/>
      <color indexed="12"/>
      <name val="Arial"/>
      <family val="2"/>
      <charset val="1"/>
    </font>
    <font>
      <b/>
      <sz val="10"/>
      <color indexed="10"/>
      <name val="Arial"/>
      <family val="2"/>
      <charset val="1"/>
    </font>
    <font>
      <b/>
      <sz val="10"/>
      <color indexed="21"/>
      <name val="Arial"/>
      <family val="2"/>
      <charset val="1"/>
    </font>
    <font>
      <b/>
      <sz val="10"/>
      <color indexed="55"/>
      <name val="Arial"/>
      <family val="2"/>
      <charset val="1"/>
    </font>
    <font>
      <b/>
      <sz val="10"/>
      <color indexed="45"/>
      <name val="Arial"/>
      <family val="2"/>
    </font>
    <font>
      <sz val="10"/>
      <color indexed="45"/>
      <name val="Arial"/>
      <family val="2"/>
    </font>
    <font>
      <i/>
      <sz val="10"/>
      <color indexed="17"/>
      <name val="Arial"/>
      <family val="2"/>
    </font>
    <font>
      <b/>
      <i/>
      <sz val="10"/>
      <color indexed="10"/>
      <name val="Arial"/>
      <family val="2"/>
      <charset val="1"/>
    </font>
    <font>
      <sz val="9"/>
      <name val="Tahoma"/>
      <family val="2"/>
      <charset val="1"/>
    </font>
    <font>
      <i/>
      <sz val="10"/>
      <color indexed="30"/>
      <name val="Arial"/>
      <family val="2"/>
      <charset val="1"/>
    </font>
    <font>
      <sz val="10"/>
      <color indexed="18"/>
      <name val="Arial"/>
      <family val="2"/>
      <charset val="1"/>
    </font>
    <font>
      <sz val="10"/>
      <color indexed="45"/>
      <name val="Arial"/>
      <family val="2"/>
      <charset val="1"/>
    </font>
    <font>
      <i/>
      <sz val="10"/>
      <color indexed="10"/>
      <name val="Arial"/>
      <family val="2"/>
      <charset val="1"/>
    </font>
    <font>
      <b/>
      <sz val="11"/>
      <color indexed="9"/>
      <name val="Calibri"/>
      <family val="2"/>
    </font>
    <font>
      <b/>
      <sz val="9"/>
      <color indexed="9"/>
      <name val="Calibri"/>
      <family val="2"/>
    </font>
    <font>
      <b/>
      <sz val="9"/>
      <color indexed="9"/>
      <name val="Calibri"/>
      <family val="2"/>
    </font>
    <font>
      <sz val="11"/>
      <color theme="1"/>
      <name val="Calibri"/>
      <family val="2"/>
      <scheme val="minor"/>
    </font>
    <font>
      <u/>
      <sz val="10"/>
      <color rgb="FF0066CC"/>
      <name val="Arial"/>
      <family val="2"/>
      <charset val="1"/>
    </font>
    <font>
      <u/>
      <sz val="10"/>
      <color rgb="FF3366FF"/>
      <name val="Arial"/>
      <family val="2"/>
    </font>
    <font>
      <sz val="10"/>
      <color theme="1"/>
      <name val="Arial"/>
      <family val="2"/>
    </font>
    <font>
      <sz val="11"/>
      <name val="Calibri"/>
      <family val="2"/>
      <scheme val="minor"/>
    </font>
    <font>
      <b/>
      <sz val="11"/>
      <color rgb="FF000000"/>
      <name val="Calibri"/>
      <family val="2"/>
    </font>
    <font>
      <sz val="11"/>
      <color rgb="FF000000"/>
      <name val="Calibri"/>
      <family val="2"/>
    </font>
    <font>
      <sz val="10"/>
      <color theme="0"/>
      <name val="Arial"/>
      <family val="2"/>
    </font>
    <font>
      <b/>
      <u/>
      <sz val="11"/>
      <color rgb="FF00B0F0"/>
      <name val="Arial"/>
      <family val="2"/>
    </font>
    <font>
      <sz val="11"/>
      <color rgb="FFFF0000"/>
      <name val="Calibri"/>
      <family val="2"/>
      <scheme val="minor"/>
    </font>
    <font>
      <b/>
      <sz val="11"/>
      <color indexed="55"/>
      <name val="Calibri"/>
      <family val="2"/>
    </font>
    <font>
      <b/>
      <sz val="10"/>
      <color indexed="55"/>
      <name val="Arial"/>
      <family val="2"/>
    </font>
    <font>
      <sz val="11"/>
      <color indexed="55"/>
      <name val="Calibri"/>
      <family val="2"/>
    </font>
    <font>
      <sz val="10"/>
      <color indexed="55"/>
      <name val="Arial"/>
      <family val="2"/>
    </font>
    <font>
      <sz val="14"/>
      <color rgb="FFFFD03B"/>
      <name val="Wingdings 3"/>
      <family val="1"/>
      <charset val="2"/>
    </font>
    <font>
      <b/>
      <sz val="11.5"/>
      <color theme="4"/>
      <name val="Century Gothic"/>
      <family val="2"/>
    </font>
    <font>
      <b/>
      <sz val="11"/>
      <name val="Calibri"/>
      <family val="2"/>
      <scheme val="minor"/>
    </font>
    <font>
      <b/>
      <sz val="10.5"/>
      <name val="Calibri"/>
      <family val="2"/>
      <scheme val="minor"/>
    </font>
    <font>
      <b/>
      <vertAlign val="superscript"/>
      <sz val="11.5"/>
      <color theme="4"/>
      <name val="Century Gothic"/>
      <family val="2"/>
    </font>
    <font>
      <sz val="22"/>
      <color rgb="FFFFD03B"/>
      <name val="Wingdings 3"/>
      <family val="1"/>
      <charset val="2"/>
    </font>
    <font>
      <b/>
      <sz val="24"/>
      <color rgb="FF305496"/>
      <name val="Century Gothic"/>
      <family val="2"/>
    </font>
    <font>
      <sz val="10"/>
      <name val="Calibri"/>
      <family val="2"/>
    </font>
    <font>
      <sz val="10"/>
      <name val="Calibri"/>
      <family val="2"/>
      <scheme val="minor"/>
    </font>
    <font>
      <i/>
      <sz val="10"/>
      <name val="Calibri"/>
      <family val="2"/>
      <scheme val="minor"/>
    </font>
    <font>
      <i/>
      <sz val="8"/>
      <color theme="0" tint="-0.499984740745262"/>
      <name val="Calibri"/>
      <family val="2"/>
      <scheme val="minor"/>
    </font>
    <font>
      <b/>
      <sz val="9"/>
      <color theme="0"/>
      <name val="Calibri"/>
      <family val="2"/>
      <scheme val="minor"/>
    </font>
    <font>
      <sz val="10"/>
      <color theme="1"/>
      <name val="Calibri"/>
      <family val="2"/>
      <scheme val="minor"/>
    </font>
    <font>
      <b/>
      <sz val="10.5"/>
      <color rgb="FF000000"/>
      <name val="Calibri"/>
      <family val="2"/>
    </font>
    <font>
      <b/>
      <sz val="10.5"/>
      <color indexed="8"/>
      <name val="Calibri"/>
      <family val="2"/>
    </font>
    <font>
      <b/>
      <sz val="10"/>
      <name val="Calibri"/>
      <family val="2"/>
    </font>
    <font>
      <sz val="10"/>
      <color rgb="FF000000"/>
      <name val="Times New Roman"/>
      <family val="1"/>
    </font>
    <font>
      <b/>
      <sz val="11.5"/>
      <color rgb="FF0070C0"/>
      <name val="Century Gothic"/>
      <family val="2"/>
    </font>
    <font>
      <b/>
      <sz val="10"/>
      <color theme="0"/>
      <name val="Calibri"/>
      <family val="2"/>
    </font>
    <font>
      <b/>
      <sz val="10"/>
      <name val="Calibri"/>
      <family val="2"/>
      <scheme val="minor"/>
    </font>
    <font>
      <i/>
      <sz val="10.5"/>
      <color theme="0" tint="-0.499984740745262"/>
      <name val="Calibri"/>
      <family val="2"/>
      <scheme val="minor"/>
    </font>
    <font>
      <sz val="10.5"/>
      <name val="Calibri"/>
      <family val="2"/>
      <scheme val="minor"/>
    </font>
    <font>
      <b/>
      <i/>
      <sz val="10.5"/>
      <color indexed="8"/>
      <name val="Calibri"/>
      <family val="2"/>
    </font>
    <font>
      <i/>
      <sz val="8"/>
      <color indexed="8"/>
      <name val="Calibri"/>
      <family val="2"/>
    </font>
    <font>
      <sz val="10.5"/>
      <color theme="1"/>
      <name val="Calibri"/>
      <family val="2"/>
      <scheme val="minor"/>
    </font>
    <font>
      <b/>
      <sz val="9"/>
      <name val="Calibri"/>
      <family val="2"/>
    </font>
    <font>
      <b/>
      <sz val="9"/>
      <name val="Calibri"/>
      <family val="2"/>
      <scheme val="minor"/>
    </font>
    <font>
      <b/>
      <sz val="10.5"/>
      <color theme="1"/>
      <name val="Calibri"/>
      <family val="2"/>
      <scheme val="minor"/>
    </font>
    <font>
      <sz val="11"/>
      <name val="Wingdings 3"/>
      <family val="1"/>
      <charset val="2"/>
    </font>
    <font>
      <sz val="1"/>
      <color theme="0"/>
      <name val="Calibri"/>
      <family val="2"/>
    </font>
    <font>
      <sz val="10.5"/>
      <color rgb="FF000000"/>
      <name val="Calibri"/>
      <family val="2"/>
    </font>
    <font>
      <b/>
      <sz val="10"/>
      <color rgb="FF000000"/>
      <name val="Calibri"/>
      <family val="2"/>
    </font>
    <font>
      <sz val="8"/>
      <name val="Calibri"/>
      <family val="2"/>
    </font>
    <font>
      <i/>
      <sz val="8"/>
      <name val="Calibri"/>
      <family val="2"/>
    </font>
    <font>
      <i/>
      <sz val="8"/>
      <color indexed="23"/>
      <name val="Calibri"/>
      <family val="2"/>
    </font>
    <font>
      <i/>
      <vertAlign val="superscript"/>
      <sz val="8"/>
      <color indexed="23"/>
      <name val="Calibri"/>
      <family val="2"/>
    </font>
    <font>
      <b/>
      <sz val="10.5"/>
      <color rgb="FF000000"/>
      <name val="Calibri"/>
      <family val="2"/>
      <scheme val="minor"/>
    </font>
    <font>
      <b/>
      <sz val="10.5"/>
      <name val="Calibri"/>
      <family val="2"/>
    </font>
    <font>
      <b/>
      <sz val="11.5"/>
      <color rgb="FF4472C4"/>
      <name val="Century Gothic"/>
      <family val="2"/>
    </font>
    <font>
      <sz val="9"/>
      <color rgb="FF000000"/>
      <name val="Calibri"/>
      <family val="2"/>
    </font>
    <font>
      <b/>
      <sz val="11"/>
      <color rgb="FF000000"/>
      <name val="Calibri"/>
      <family val="2"/>
      <scheme val="minor"/>
    </font>
    <font>
      <sz val="10"/>
      <color theme="0" tint="-0.499984740745262"/>
      <name val="Calibri"/>
      <family val="2"/>
      <scheme val="minor"/>
    </font>
    <font>
      <sz val="12"/>
      <name val="Wingdings 3"/>
      <family val="1"/>
      <charset val="2"/>
    </font>
    <font>
      <sz val="9"/>
      <name val="Calibri"/>
      <family val="2"/>
      <scheme val="minor"/>
    </font>
    <font>
      <b/>
      <sz val="10"/>
      <color indexed="51"/>
      <name val="Calibri"/>
      <family val="2"/>
    </font>
    <font>
      <i/>
      <sz val="8"/>
      <color theme="0" tint="-0.34998626667073579"/>
      <name val="Calibri"/>
      <family val="2"/>
      <scheme val="minor"/>
    </font>
    <font>
      <b/>
      <sz val="11"/>
      <color rgb="FFFFC000"/>
      <name val="Calibri"/>
      <family val="2"/>
      <scheme val="minor"/>
    </font>
    <font>
      <b/>
      <sz val="10.5"/>
      <color theme="4"/>
      <name val="Calibri"/>
      <family val="2"/>
      <scheme val="minor"/>
    </font>
    <font>
      <b/>
      <sz val="12"/>
      <color rgb="FF1DD4FF"/>
      <name val="Century Gothic"/>
      <family val="2"/>
    </font>
    <font>
      <b/>
      <sz val="12"/>
      <name val="Calibri"/>
      <family val="2"/>
      <scheme val="minor"/>
    </font>
    <font>
      <b/>
      <sz val="11"/>
      <color theme="4"/>
      <name val="Century Gothic"/>
      <family val="2"/>
    </font>
    <font>
      <sz val="11"/>
      <color rgb="FF000000"/>
      <name val="Calibri"/>
      <family val="2"/>
      <scheme val="minor"/>
    </font>
    <font>
      <sz val="11"/>
      <color indexed="8"/>
      <name val="Calibri"/>
      <family val="2"/>
      <scheme val="minor"/>
    </font>
    <font>
      <b/>
      <sz val="11"/>
      <color indexed="30"/>
      <name val="Calibri"/>
      <family val="2"/>
    </font>
    <font>
      <b/>
      <sz val="10"/>
      <color indexed="30"/>
      <name val="Calibri"/>
      <family val="2"/>
    </font>
    <font>
      <i/>
      <sz val="10"/>
      <name val="Calibri"/>
      <family val="2"/>
    </font>
    <font>
      <sz val="10.5"/>
      <name val="Wingdings 3"/>
      <family val="1"/>
      <charset val="2"/>
    </font>
    <font>
      <b/>
      <sz val="11"/>
      <color rgb="FF0070C0"/>
      <name val="Calibri"/>
      <family val="2"/>
    </font>
    <font>
      <b/>
      <sz val="10.5"/>
      <color theme="1"/>
      <name val="Century Gothic"/>
      <family val="2"/>
    </font>
    <font>
      <i/>
      <sz val="9"/>
      <color theme="0" tint="-0.34998626667073579"/>
      <name val="Calibri"/>
      <family val="2"/>
      <scheme val="minor"/>
    </font>
    <font>
      <b/>
      <sz val="10.5"/>
      <color theme="4"/>
      <name val="Century Gothic"/>
      <family val="2"/>
    </font>
    <font>
      <sz val="10"/>
      <color rgb="FF000000"/>
      <name val="Calibri"/>
      <family val="2"/>
      <scheme val="minor"/>
    </font>
    <font>
      <i/>
      <sz val="10"/>
      <color rgb="FF000000"/>
      <name val="Calibri"/>
      <family val="2"/>
    </font>
    <font>
      <b/>
      <sz val="11"/>
      <name val="Calibri"/>
      <family val="2"/>
    </font>
    <font>
      <b/>
      <sz val="11"/>
      <color theme="4" tint="-0.249977111117893"/>
      <name val="Calibri"/>
      <family val="2"/>
      <scheme val="minor"/>
    </font>
    <font>
      <sz val="11"/>
      <color theme="1"/>
      <name val="Calibri"/>
      <family val="2"/>
    </font>
    <font>
      <sz val="10.5"/>
      <color indexed="8"/>
      <name val="Calibri"/>
      <family val="2"/>
    </font>
    <font>
      <sz val="10"/>
      <color rgb="FF000000"/>
      <name val="Wingdings 3"/>
      <family val="1"/>
      <charset val="2"/>
    </font>
    <font>
      <b/>
      <sz val="11.5"/>
      <color rgb="FF4F81BD"/>
      <name val="Century Gothic"/>
      <family val="2"/>
    </font>
    <font>
      <sz val="8"/>
      <name val="Calibri"/>
      <family val="2"/>
      <scheme val="minor"/>
    </font>
    <font>
      <i/>
      <sz val="8"/>
      <name val="Calibri"/>
      <family val="2"/>
      <scheme val="minor"/>
    </font>
    <font>
      <b/>
      <sz val="11"/>
      <color rgb="FF305496"/>
      <name val="Calibri"/>
      <family val="2"/>
      <scheme val="minor"/>
    </font>
    <font>
      <vertAlign val="superscript"/>
      <sz val="10"/>
      <name val="Calibri"/>
      <family val="2"/>
      <scheme val="minor"/>
    </font>
    <font>
      <sz val="10"/>
      <color theme="1"/>
      <name val="Calibri"/>
      <family val="2"/>
    </font>
    <font>
      <b/>
      <i/>
      <sz val="11"/>
      <color theme="0" tint="-0.34998626667073579"/>
      <name val="Calibri"/>
      <family val="2"/>
    </font>
    <font>
      <i/>
      <sz val="11"/>
      <color rgb="FF808080"/>
      <name val="Calibri"/>
      <family val="2"/>
    </font>
    <font>
      <sz val="10.5"/>
      <color rgb="FF7030A0"/>
      <name val="Calibri"/>
      <family val="2"/>
      <scheme val="minor"/>
    </font>
    <font>
      <b/>
      <sz val="10"/>
      <color rgb="FF4472C4"/>
      <name val="Century Gothic"/>
      <family val="2"/>
    </font>
    <font>
      <b/>
      <sz val="10"/>
      <color theme="4"/>
      <name val="Century Gothic"/>
      <family val="2"/>
    </font>
    <font>
      <i/>
      <sz val="9"/>
      <color theme="0" tint="-0.499984740745262"/>
      <name val="Calibri"/>
      <family val="2"/>
      <scheme val="minor"/>
    </font>
    <font>
      <b/>
      <sz val="11"/>
      <color theme="0"/>
      <name val="Calibri"/>
      <family val="2"/>
    </font>
    <font>
      <sz val="11"/>
      <color theme="0" tint="-0.499984740745262"/>
      <name val="Calibri"/>
      <family val="2"/>
      <scheme val="minor"/>
    </font>
    <font>
      <sz val="11"/>
      <color theme="0" tint="-0.34998626667073579"/>
      <name val="Calibri"/>
      <family val="2"/>
      <scheme val="minor"/>
    </font>
    <font>
      <sz val="10"/>
      <color theme="0" tint="-0.499984740745262"/>
      <name val="Arial"/>
      <family val="2"/>
    </font>
    <font>
      <sz val="10"/>
      <color theme="0" tint="-0.34998626667073579"/>
      <name val="Arial"/>
      <family val="2"/>
    </font>
    <font>
      <b/>
      <sz val="11"/>
      <color theme="0" tint="-0.34998626667073579"/>
      <name val="Calibri"/>
      <family val="2"/>
    </font>
    <font>
      <b/>
      <sz val="8"/>
      <color theme="0" tint="-0.34998626667073579"/>
      <name val="Calibri"/>
      <family val="2"/>
    </font>
    <font>
      <b/>
      <sz val="11"/>
      <color theme="0" tint="-0.34998626667073579"/>
      <name val="Calibri"/>
      <family val="2"/>
      <scheme val="minor"/>
    </font>
    <font>
      <sz val="11"/>
      <color theme="6" tint="-0.249977111117893"/>
      <name val="Calibri"/>
      <family val="2"/>
      <scheme val="minor"/>
    </font>
    <font>
      <b/>
      <sz val="10"/>
      <color theme="0" tint="-0.34998626667073579"/>
      <name val="Arial"/>
      <family val="2"/>
    </font>
    <font>
      <sz val="11"/>
      <color theme="5"/>
      <name val="Calibri"/>
      <family val="2"/>
      <scheme val="minor"/>
    </font>
    <font>
      <sz val="11"/>
      <color theme="0" tint="-0.249977111117893"/>
      <name val="Calibri"/>
      <family val="2"/>
      <scheme val="minor"/>
    </font>
    <font>
      <sz val="11"/>
      <color theme="7"/>
      <name val="Calibri"/>
      <family val="2"/>
      <scheme val="minor"/>
    </font>
    <font>
      <b/>
      <sz val="11"/>
      <color rgb="FFFF0000"/>
      <name val="Calibri"/>
      <family val="2"/>
      <scheme val="minor"/>
    </font>
    <font>
      <b/>
      <sz val="11"/>
      <color theme="5"/>
      <name val="Calibri"/>
      <family val="2"/>
      <scheme val="minor"/>
    </font>
    <font>
      <sz val="11"/>
      <color rgb="FF0070C0"/>
      <name val="Calibri"/>
      <family val="2"/>
      <scheme val="minor"/>
    </font>
    <font>
      <sz val="11"/>
      <color theme="9" tint="-0.249977111117893"/>
      <name val="Calibri"/>
      <family val="2"/>
      <scheme val="minor"/>
    </font>
    <font>
      <sz val="11"/>
      <color rgb="FF00B050"/>
      <name val="Calibri"/>
      <family val="2"/>
      <scheme val="minor"/>
    </font>
    <font>
      <sz val="11"/>
      <color theme="4"/>
      <name val="Calibri"/>
      <family val="2"/>
      <scheme val="minor"/>
    </font>
    <font>
      <b/>
      <sz val="11"/>
      <color theme="9" tint="0.39997558519241921"/>
      <name val="Calibri"/>
      <family val="2"/>
      <scheme val="minor"/>
    </font>
    <font>
      <b/>
      <sz val="11"/>
      <color rgb="FF00B0F0"/>
      <name val="Calibri"/>
      <family val="2"/>
      <scheme val="minor"/>
    </font>
    <font>
      <b/>
      <sz val="11"/>
      <color rgb="FF00B050"/>
      <name val="Calibri"/>
      <family val="2"/>
      <scheme val="minor"/>
    </font>
    <font>
      <b/>
      <sz val="10"/>
      <color rgb="FFFF0000"/>
      <name val="Calibri"/>
      <family val="2"/>
      <scheme val="minor"/>
    </font>
    <font>
      <b/>
      <sz val="12"/>
      <color rgb="FFC00000"/>
      <name val="Calibri"/>
      <family val="2"/>
      <scheme val="minor"/>
    </font>
    <font>
      <b/>
      <sz val="11"/>
      <color theme="4"/>
      <name val="Calibri"/>
      <family val="2"/>
      <scheme val="minor"/>
    </font>
    <font>
      <b/>
      <sz val="18"/>
      <color rgb="FF4790C1"/>
      <name val="Century Gothic"/>
      <family val="2"/>
    </font>
    <font>
      <b/>
      <sz val="20"/>
      <color theme="4" tint="-0.499984740745262"/>
      <name val="Calibri"/>
      <family val="2"/>
      <scheme val="minor"/>
    </font>
    <font>
      <sz val="20"/>
      <name val="Calibri"/>
      <family val="2"/>
      <scheme val="minor"/>
    </font>
    <font>
      <sz val="10"/>
      <color indexed="8"/>
      <name val="Calibri"/>
      <family val="2"/>
      <scheme val="minor"/>
    </font>
    <font>
      <b/>
      <vertAlign val="superscript"/>
      <sz val="9"/>
      <name val="Calibri"/>
      <family val="2"/>
    </font>
    <font>
      <b/>
      <sz val="9"/>
      <color rgb="FFFF0000"/>
      <name val="Arial"/>
      <family val="2"/>
    </font>
    <font>
      <sz val="9"/>
      <color rgb="FFFF0000"/>
      <name val="Arial"/>
      <family val="2"/>
    </font>
  </fonts>
  <fills count="56">
    <fill>
      <patternFill patternType="none"/>
    </fill>
    <fill>
      <patternFill patternType="gray125"/>
    </fill>
    <fill>
      <patternFill patternType="solid">
        <fgColor indexed="8"/>
        <bgColor indexed="64"/>
      </patternFill>
    </fill>
    <fill>
      <patternFill patternType="solid">
        <fgColor indexed="27"/>
        <bgColor indexed="42"/>
      </patternFill>
    </fill>
    <fill>
      <patternFill patternType="solid">
        <fgColor indexed="22"/>
        <bgColor indexed="13"/>
      </patternFill>
    </fill>
    <fill>
      <patternFill patternType="solid">
        <fgColor indexed="9"/>
        <bgColor indexed="41"/>
      </patternFill>
    </fill>
    <fill>
      <patternFill patternType="solid">
        <fgColor indexed="33"/>
        <bgColor indexed="64"/>
      </patternFill>
    </fill>
    <fill>
      <patternFill patternType="solid">
        <fgColor indexed="13"/>
        <bgColor indexed="64"/>
      </patternFill>
    </fill>
    <fill>
      <patternFill patternType="solid">
        <fgColor indexed="23"/>
        <bgColor indexed="64"/>
      </patternFill>
    </fill>
    <fill>
      <patternFill patternType="solid">
        <fgColor indexed="46"/>
        <bgColor indexed="31"/>
      </patternFill>
    </fill>
    <fill>
      <patternFill patternType="solid">
        <fgColor indexed="9"/>
        <bgColor indexed="43"/>
      </patternFill>
    </fill>
    <fill>
      <patternFill patternType="solid">
        <fgColor indexed="9"/>
        <bgColor indexed="31"/>
      </patternFill>
    </fill>
    <fill>
      <patternFill patternType="solid">
        <fgColor indexed="9"/>
        <bgColor indexed="64"/>
      </patternFill>
    </fill>
    <fill>
      <patternFill patternType="solid">
        <fgColor indexed="23"/>
        <bgColor indexed="42"/>
      </patternFill>
    </fill>
    <fill>
      <patternFill patternType="solid">
        <fgColor indexed="55"/>
        <bgColor indexed="42"/>
      </patternFill>
    </fill>
    <fill>
      <patternFill patternType="solid">
        <fgColor indexed="55"/>
        <bgColor indexed="23"/>
      </patternFill>
    </fill>
    <fill>
      <patternFill patternType="solid">
        <fgColor indexed="22"/>
        <bgColor indexed="43"/>
      </patternFill>
    </fill>
    <fill>
      <patternFill patternType="solid">
        <fgColor indexed="22"/>
        <bgColor indexed="34"/>
      </patternFill>
    </fill>
    <fill>
      <patternFill patternType="solid">
        <fgColor indexed="22"/>
        <bgColor indexed="64"/>
      </patternFill>
    </fill>
    <fill>
      <patternFill patternType="solid">
        <fgColor indexed="22"/>
        <bgColor indexed="42"/>
      </patternFill>
    </fill>
    <fill>
      <patternFill patternType="solid">
        <fgColor indexed="47"/>
        <bgColor indexed="64"/>
      </patternFill>
    </fill>
    <fill>
      <patternFill patternType="solid">
        <fgColor indexed="47"/>
        <bgColor indexed="51"/>
      </patternFill>
    </fill>
    <fill>
      <patternFill patternType="solid">
        <fgColor indexed="9"/>
        <bgColor indexed="26"/>
      </patternFill>
    </fill>
    <fill>
      <patternFill patternType="solid">
        <fgColor indexed="11"/>
        <bgColor indexed="64"/>
      </patternFill>
    </fill>
    <fill>
      <patternFill patternType="solid">
        <fgColor indexed="51"/>
        <bgColor indexed="51"/>
      </patternFill>
    </fill>
    <fill>
      <patternFill patternType="solid">
        <fgColor indexed="9"/>
        <bgColor indexed="27"/>
      </patternFill>
    </fill>
    <fill>
      <patternFill patternType="solid">
        <fgColor indexed="22"/>
        <bgColor indexed="31"/>
      </patternFill>
    </fill>
    <fill>
      <patternFill patternType="solid">
        <fgColor indexed="44"/>
        <bgColor indexed="64"/>
      </patternFill>
    </fill>
    <fill>
      <patternFill patternType="solid">
        <fgColor indexed="58"/>
        <bgColor indexed="64"/>
      </patternFill>
    </fill>
    <fill>
      <patternFill patternType="solid">
        <fgColor theme="4" tint="0.79998168889431442"/>
        <bgColor indexed="65"/>
      </patternFill>
    </fill>
    <fill>
      <patternFill patternType="solid">
        <fgColor rgb="FFFFFF00"/>
        <bgColor indexed="64"/>
      </patternFill>
    </fill>
    <fill>
      <patternFill patternType="solid">
        <fgColor theme="1"/>
        <bgColor theme="1"/>
      </patternFill>
    </fill>
    <fill>
      <patternFill patternType="solid">
        <fgColor theme="0"/>
        <bgColor indexed="64"/>
      </patternFill>
    </fill>
    <fill>
      <patternFill patternType="solid">
        <fgColor theme="5" tint="0.79998168889431442"/>
        <bgColor indexed="64"/>
      </patternFill>
    </fill>
    <fill>
      <patternFill patternType="solid">
        <fgColor rgb="FFDCE6F1"/>
        <bgColor indexed="64"/>
      </patternFill>
    </fill>
    <fill>
      <patternFill patternType="solid">
        <fgColor rgb="FF36609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rgb="FFFF00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theme="7"/>
        <bgColor indexed="64"/>
      </patternFill>
    </fill>
    <fill>
      <patternFill patternType="solid">
        <fgColor theme="5"/>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8"/>
        <bgColor indexed="64"/>
      </patternFill>
    </fill>
    <fill>
      <patternFill patternType="solid">
        <fgColor rgb="FF7030A0"/>
        <bgColor indexed="64"/>
      </patternFill>
    </fill>
    <fill>
      <patternFill patternType="solid">
        <fgColor theme="1"/>
        <bgColor indexed="64"/>
      </patternFill>
    </fill>
    <fill>
      <patternFill patternType="solid">
        <fgColor theme="8" tint="0.79998168889431442"/>
        <bgColor indexed="64"/>
      </patternFill>
    </fill>
  </fills>
  <borders count="249">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style="thin">
        <color indexed="8"/>
      </left>
      <right/>
      <top/>
      <bottom/>
      <diagonal/>
    </border>
    <border>
      <left/>
      <right/>
      <top style="medium">
        <color indexed="8"/>
      </top>
      <bottom style="medium">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medium">
        <color indexed="8"/>
      </left>
      <right style="medium">
        <color indexed="8"/>
      </right>
      <top style="medium">
        <color indexed="8"/>
      </top>
      <bottom style="medium">
        <color indexed="8"/>
      </bottom>
      <diagonal/>
    </border>
    <border>
      <left/>
      <right style="thin">
        <color indexed="8"/>
      </right>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8"/>
      </left>
      <right/>
      <top style="medium">
        <color indexed="8"/>
      </top>
      <bottom style="medium">
        <color indexed="8"/>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top style="medium">
        <color indexed="64"/>
      </top>
      <bottom style="thin">
        <color indexed="8"/>
      </bottom>
      <diagonal/>
    </border>
    <border>
      <left style="thin">
        <color indexed="8"/>
      </left>
      <right/>
      <top/>
      <bottom style="medium">
        <color indexed="64"/>
      </bottom>
      <diagonal/>
    </border>
    <border>
      <left/>
      <right/>
      <top style="medium">
        <color indexed="64"/>
      </top>
      <bottom style="thin">
        <color indexed="8"/>
      </bottom>
      <diagonal/>
    </border>
    <border>
      <left style="medium">
        <color indexed="8"/>
      </left>
      <right style="thin">
        <color indexed="8"/>
      </right>
      <top style="thin">
        <color indexed="8"/>
      </top>
      <bottom/>
      <diagonal/>
    </border>
    <border>
      <left style="medium">
        <color indexed="64"/>
      </left>
      <right style="thin">
        <color indexed="64"/>
      </right>
      <top style="medium">
        <color indexed="64"/>
      </top>
      <bottom style="thin">
        <color indexed="8"/>
      </bottom>
      <diagonal/>
    </border>
    <border>
      <left style="thin">
        <color indexed="8"/>
      </left>
      <right style="double">
        <color indexed="8"/>
      </right>
      <top/>
      <bottom/>
      <diagonal/>
    </border>
    <border>
      <left style="double">
        <color indexed="64"/>
      </left>
      <right style="thin">
        <color indexed="64"/>
      </right>
      <top/>
      <bottom style="thin">
        <color indexed="8"/>
      </bottom>
      <diagonal/>
    </border>
    <border>
      <left/>
      <right style="double">
        <color indexed="8"/>
      </right>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medium">
        <color indexed="8"/>
      </right>
      <top style="thin">
        <color indexed="8"/>
      </top>
      <bottom style="medium">
        <color indexed="8"/>
      </bottom>
      <diagonal/>
    </border>
    <border>
      <left style="thin">
        <color indexed="64"/>
      </left>
      <right style="medium">
        <color indexed="64"/>
      </right>
      <top/>
      <bottom style="thin">
        <color indexed="64"/>
      </bottom>
      <diagonal/>
    </border>
    <border>
      <left style="medium">
        <color indexed="8"/>
      </left>
      <right style="thin">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medium">
        <color indexed="8"/>
      </right>
      <top style="thin">
        <color indexed="64"/>
      </top>
      <bottom style="medium">
        <color indexed="8"/>
      </bottom>
      <diagonal/>
    </border>
    <border>
      <left style="thin">
        <color indexed="8"/>
      </left>
      <right style="medium">
        <color indexed="8"/>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8"/>
      </left>
      <right/>
      <top style="medium">
        <color indexed="8"/>
      </top>
      <bottom style="thin">
        <color indexed="8"/>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8"/>
      </left>
      <right style="double">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style="thin">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double">
        <color indexed="8"/>
      </left>
      <right style="thin">
        <color indexed="8"/>
      </right>
      <top style="thin">
        <color indexed="8"/>
      </top>
      <bottom style="thin">
        <color indexed="8"/>
      </bottom>
      <diagonal/>
    </border>
    <border>
      <left style="thin">
        <color indexed="8"/>
      </left>
      <right style="double">
        <color indexed="8"/>
      </right>
      <top/>
      <bottom style="thin">
        <color indexed="8"/>
      </bottom>
      <diagonal/>
    </border>
    <border>
      <left style="thin">
        <color indexed="8"/>
      </left>
      <right style="double">
        <color indexed="8"/>
      </right>
      <top style="thin">
        <color indexed="8"/>
      </top>
      <bottom/>
      <diagonal/>
    </border>
    <border>
      <left style="double">
        <color indexed="8"/>
      </left>
      <right style="thin">
        <color indexed="8"/>
      </right>
      <top style="thin">
        <color indexed="8"/>
      </top>
      <bottom/>
      <diagonal/>
    </border>
    <border>
      <left style="double">
        <color indexed="8"/>
      </left>
      <right style="thin">
        <color indexed="8"/>
      </right>
      <top/>
      <bottom style="thin">
        <color indexed="8"/>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medium">
        <color indexed="8"/>
      </top>
      <bottom/>
      <diagonal/>
    </border>
    <border>
      <left style="medium">
        <color indexed="8"/>
      </left>
      <right style="medium">
        <color indexed="8"/>
      </right>
      <top/>
      <bottom style="medium">
        <color indexed="8"/>
      </bottom>
      <diagonal/>
    </border>
    <border>
      <left style="thin">
        <color indexed="8"/>
      </left>
      <right/>
      <top style="medium">
        <color indexed="8"/>
      </top>
      <bottom style="thin">
        <color indexed="8"/>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n">
        <color indexed="64"/>
      </right>
      <top style="medium">
        <color indexed="8"/>
      </top>
      <bottom style="thin">
        <color indexed="64"/>
      </bottom>
      <diagonal/>
    </border>
    <border>
      <left style="thin">
        <color indexed="64"/>
      </left>
      <right style="medium">
        <color indexed="8"/>
      </right>
      <top style="medium">
        <color indexed="8"/>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medium">
        <color indexed="8"/>
      </right>
      <top style="thin">
        <color indexed="64"/>
      </top>
      <bottom style="thin">
        <color indexed="64"/>
      </bottom>
      <diagonal/>
    </border>
    <border>
      <left/>
      <right style="thin">
        <color indexed="8"/>
      </right>
      <top style="thin">
        <color indexed="64"/>
      </top>
      <bottom style="thin">
        <color indexed="8"/>
      </bottom>
      <diagonal/>
    </border>
    <border>
      <left style="thin">
        <color indexed="64"/>
      </left>
      <right/>
      <top/>
      <bottom/>
      <diagonal/>
    </border>
    <border>
      <left style="thin">
        <color indexed="64"/>
      </left>
      <right style="thin">
        <color indexed="64"/>
      </right>
      <top style="thin">
        <color indexed="8"/>
      </top>
      <bottom/>
      <diagonal/>
    </border>
    <border>
      <left style="thin">
        <color indexed="64"/>
      </left>
      <right style="thin">
        <color indexed="64"/>
      </right>
      <top/>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64"/>
      </left>
      <right/>
      <top style="thin">
        <color indexed="8"/>
      </top>
      <bottom style="thin">
        <color indexed="8"/>
      </bottom>
      <diagonal/>
    </border>
    <border>
      <left style="double">
        <color indexed="64"/>
      </left>
      <right style="thin">
        <color indexed="64"/>
      </right>
      <top style="thin">
        <color indexed="8"/>
      </top>
      <bottom style="thin">
        <color indexed="8"/>
      </bottom>
      <diagonal/>
    </border>
    <border>
      <left style="thin">
        <color indexed="64"/>
      </left>
      <right/>
      <top style="thin">
        <color indexed="8"/>
      </top>
      <bottom/>
      <diagonal/>
    </border>
    <border>
      <left style="double">
        <color indexed="64"/>
      </left>
      <right style="thin">
        <color indexed="64"/>
      </right>
      <top style="thin">
        <color indexed="8"/>
      </top>
      <bottom/>
      <diagonal/>
    </border>
    <border>
      <left style="thin">
        <color indexed="8"/>
      </left>
      <right/>
      <top style="thin">
        <color indexed="64"/>
      </top>
      <bottom style="thin">
        <color indexed="8"/>
      </bottom>
      <diagonal/>
    </border>
    <border>
      <left style="thin">
        <color indexed="64"/>
      </left>
      <right/>
      <top style="thin">
        <color indexed="64"/>
      </top>
      <bottom style="thin">
        <color indexed="8"/>
      </bottom>
      <diagonal/>
    </border>
    <border>
      <left style="double">
        <color indexed="64"/>
      </left>
      <right style="thin">
        <color indexed="64"/>
      </right>
      <top style="thin">
        <color indexed="64"/>
      </top>
      <bottom style="thin">
        <color indexed="8"/>
      </bottom>
      <diagonal/>
    </border>
    <border>
      <left style="thin">
        <color indexed="8"/>
      </left>
      <right style="double">
        <color indexed="8"/>
      </right>
      <top style="thin">
        <color indexed="64"/>
      </top>
      <bottom style="thin">
        <color indexed="8"/>
      </bottom>
      <diagonal/>
    </border>
    <border>
      <left style="double">
        <color indexed="8"/>
      </left>
      <right style="thin">
        <color indexed="8"/>
      </right>
      <top style="thin">
        <color indexed="64"/>
      </top>
      <bottom style="thin">
        <color indexed="8"/>
      </bottom>
      <diagonal/>
    </border>
    <border>
      <left style="thin">
        <color indexed="64"/>
      </left>
      <right/>
      <top style="thin">
        <color indexed="8"/>
      </top>
      <bottom style="thin">
        <color indexed="64"/>
      </bottom>
      <diagonal/>
    </border>
    <border>
      <left style="double">
        <color indexed="64"/>
      </left>
      <right style="thin">
        <color indexed="64"/>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double">
        <color indexed="8"/>
      </right>
      <top style="thin">
        <color indexed="8"/>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8"/>
      </right>
      <top style="thin">
        <color indexed="8"/>
      </top>
      <bottom style="thin">
        <color indexed="64"/>
      </bottom>
      <diagonal/>
    </border>
    <border>
      <left style="double">
        <color indexed="8"/>
      </left>
      <right style="thin">
        <color indexed="64"/>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64"/>
      </left>
      <right style="thin">
        <color indexed="8"/>
      </right>
      <top/>
      <bottom style="thin">
        <color indexed="64"/>
      </bottom>
      <diagonal/>
    </border>
    <border>
      <left style="medium">
        <color indexed="64"/>
      </left>
      <right style="thin">
        <color indexed="8"/>
      </right>
      <top/>
      <bottom style="medium">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8"/>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8"/>
      </left>
      <right style="medium">
        <color indexed="8"/>
      </right>
      <top/>
      <bottom/>
      <diagonal/>
    </border>
    <border>
      <left/>
      <right style="thin">
        <color indexed="64"/>
      </right>
      <top/>
      <bottom style="thin">
        <color indexed="64"/>
      </bottom>
      <diagonal/>
    </border>
    <border>
      <left/>
      <right style="medium">
        <color indexed="8"/>
      </right>
      <top style="medium">
        <color indexed="8"/>
      </top>
      <bottom style="medium">
        <color indexed="8"/>
      </bottom>
      <diagonal/>
    </border>
    <border>
      <left/>
      <right/>
      <top style="thick">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8"/>
      </right>
      <top style="medium">
        <color indexed="64"/>
      </top>
      <bottom/>
      <diagonal/>
    </border>
    <border>
      <left style="medium">
        <color indexed="64"/>
      </left>
      <right style="thin">
        <color indexed="8"/>
      </right>
      <top/>
      <bottom/>
      <diagonal/>
    </border>
    <border>
      <left style="medium">
        <color indexed="64"/>
      </left>
      <right/>
      <top/>
      <bottom/>
      <diagonal/>
    </border>
    <border>
      <left style="double">
        <color indexed="64"/>
      </left>
      <right style="thin">
        <color indexed="64"/>
      </right>
      <top/>
      <bottom/>
      <diagonal/>
    </border>
    <border>
      <left style="thin">
        <color indexed="8"/>
      </left>
      <right/>
      <top style="thin">
        <color indexed="64"/>
      </top>
      <bottom/>
      <diagonal/>
    </border>
    <border>
      <left/>
      <right style="thin">
        <color indexed="8"/>
      </right>
      <top style="thin">
        <color indexed="64"/>
      </top>
      <bottom style="thin">
        <color indexed="64"/>
      </bottom>
      <diagonal/>
    </border>
    <border>
      <left/>
      <right style="double">
        <color indexed="8"/>
      </right>
      <top style="thin">
        <color indexed="64"/>
      </top>
      <bottom style="thin">
        <color indexed="8"/>
      </bottom>
      <diagonal/>
    </border>
    <border>
      <left style="double">
        <color indexed="64"/>
      </left>
      <right/>
      <top style="thin">
        <color indexed="64"/>
      </top>
      <bottom style="thin">
        <color indexed="8"/>
      </bottom>
      <diagonal/>
    </border>
    <border>
      <left/>
      <right/>
      <top style="thin">
        <color indexed="64"/>
      </top>
      <bottom style="thin">
        <color indexed="8"/>
      </bottom>
      <diagonal/>
    </border>
    <border>
      <left/>
      <right style="double">
        <color indexed="64"/>
      </right>
      <top style="thin">
        <color indexed="64"/>
      </top>
      <bottom style="thin">
        <color indexed="8"/>
      </bottom>
      <diagonal/>
    </border>
    <border>
      <left/>
      <right style="double">
        <color indexed="64"/>
      </right>
      <top style="thin">
        <color indexed="64"/>
      </top>
      <bottom style="thin">
        <color indexed="64"/>
      </bottom>
      <diagonal/>
    </border>
    <border>
      <left style="thin">
        <color indexed="8"/>
      </left>
      <right style="thin">
        <color indexed="8"/>
      </right>
      <top style="thin">
        <color indexed="64"/>
      </top>
      <bottom/>
      <diagonal/>
    </border>
    <border>
      <left/>
      <right/>
      <top style="medium">
        <color indexed="8"/>
      </top>
      <bottom style="medium">
        <color indexed="64"/>
      </bottom>
      <diagonal/>
    </border>
    <border>
      <left style="medium">
        <color indexed="8"/>
      </left>
      <right style="medium">
        <color indexed="8"/>
      </right>
      <top style="medium">
        <color indexed="8"/>
      </top>
      <bottom style="thin">
        <color indexed="8"/>
      </bottom>
      <diagonal/>
    </border>
    <border>
      <left style="thin">
        <color indexed="64"/>
      </left>
      <right style="medium">
        <color indexed="8"/>
      </right>
      <top style="medium">
        <color indexed="64"/>
      </top>
      <bottom style="thin">
        <color indexed="64"/>
      </bottom>
      <diagonal/>
    </border>
    <border>
      <left style="thin">
        <color indexed="64"/>
      </left>
      <right style="medium">
        <color indexed="8"/>
      </right>
      <top style="thin">
        <color indexed="64"/>
      </top>
      <bottom/>
      <diagonal/>
    </border>
    <border>
      <left style="thin">
        <color indexed="64"/>
      </left>
      <right style="medium">
        <color indexed="8"/>
      </right>
      <top/>
      <bottom/>
      <diagonal/>
    </border>
    <border>
      <left style="thin">
        <color indexed="64"/>
      </left>
      <right style="medium">
        <color indexed="8"/>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8"/>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medium">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diagonal/>
    </border>
    <border>
      <left/>
      <right/>
      <top style="medium">
        <color indexed="64"/>
      </top>
      <bottom style="medium">
        <color indexed="8"/>
      </bottom>
      <diagonal/>
    </border>
    <border>
      <left/>
      <right/>
      <top style="medium">
        <color theme="0" tint="-0.499984740745262"/>
      </top>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medium">
        <color indexed="8"/>
      </right>
      <top/>
      <bottom/>
      <diagonal/>
    </border>
    <border>
      <left style="medium">
        <color indexed="8"/>
      </left>
      <right style="medium">
        <color indexed="64"/>
      </right>
      <top/>
      <bottom/>
      <diagonal/>
    </border>
    <border>
      <left/>
      <right/>
      <top/>
      <bottom style="medium">
        <color theme="4" tint="-0.24994659260841701"/>
      </bottom>
      <diagonal/>
    </border>
    <border>
      <left/>
      <right/>
      <top/>
      <bottom style="medium">
        <color rgb="FF366092"/>
      </bottom>
      <diagonal/>
    </border>
    <border>
      <left style="thin">
        <color theme="0" tint="-0.34998626667073579"/>
      </left>
      <right style="thin">
        <color indexed="55"/>
      </right>
      <top style="thin">
        <color theme="0" tint="-0.34998626667073579"/>
      </top>
      <bottom style="thin">
        <color indexed="55"/>
      </bottom>
      <diagonal/>
    </border>
    <border>
      <left style="thin">
        <color indexed="55"/>
      </left>
      <right style="thin">
        <color indexed="55"/>
      </right>
      <top style="thin">
        <color theme="0" tint="-0.34998626667073579"/>
      </top>
      <bottom style="thin">
        <color indexed="55"/>
      </bottom>
      <diagonal/>
    </border>
    <border>
      <left style="thin">
        <color indexed="55"/>
      </left>
      <right style="thin">
        <color theme="0" tint="-0.34998626667073579"/>
      </right>
      <top style="thin">
        <color theme="0" tint="-0.34998626667073579"/>
      </top>
      <bottom style="thin">
        <color indexed="55"/>
      </bottom>
      <diagonal/>
    </border>
    <border>
      <left/>
      <right/>
      <top style="medium">
        <color theme="4" tint="-0.24994659260841701"/>
      </top>
      <bottom/>
      <diagonal/>
    </border>
    <border>
      <left style="thin">
        <color theme="0" tint="-0.34998626667073579"/>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theme="0" tint="-0.34998626667073579"/>
      </right>
      <top style="thin">
        <color indexed="55"/>
      </top>
      <bottom style="thin">
        <color indexed="55"/>
      </bottom>
      <diagonal/>
    </border>
    <border>
      <left/>
      <right/>
      <top/>
      <bottom style="thin">
        <color theme="4" tint="-0.24994659260841701"/>
      </bottom>
      <diagonal/>
    </border>
    <border>
      <left/>
      <right/>
      <top style="thin">
        <color rgb="FF366092"/>
      </top>
      <bottom style="thin">
        <color rgb="FF366092"/>
      </bottom>
      <diagonal/>
    </border>
    <border>
      <left/>
      <right/>
      <top style="thin">
        <color theme="4" tint="-0.24994659260841701"/>
      </top>
      <bottom/>
      <diagonal/>
    </border>
    <border>
      <left/>
      <right/>
      <top style="thin">
        <color rgb="FF366092"/>
      </top>
      <bottom/>
      <diagonal/>
    </border>
    <border>
      <left/>
      <right/>
      <top/>
      <bottom style="thin">
        <color rgb="FF366092"/>
      </bottom>
      <diagonal/>
    </border>
    <border>
      <left/>
      <right/>
      <top style="thin">
        <color theme="4" tint="-0.24994659260841701"/>
      </top>
      <bottom style="thin">
        <color theme="4" tint="-0.24994659260841701"/>
      </bottom>
      <diagonal/>
    </border>
    <border>
      <left/>
      <right/>
      <top/>
      <bottom style="thin">
        <color theme="0" tint="-0.499984740745262"/>
      </bottom>
      <diagonal/>
    </border>
    <border>
      <left/>
      <right/>
      <top style="thin">
        <color theme="4"/>
      </top>
      <bottom/>
      <diagonal/>
    </border>
    <border>
      <left style="double">
        <color theme="0" tint="-0.34998626667073579"/>
      </left>
      <right style="double">
        <color theme="0" tint="-0.34998626667073579"/>
      </right>
      <top style="double">
        <color theme="0" tint="-0.34998626667073579"/>
      </top>
      <bottom/>
      <diagonal/>
    </border>
    <border>
      <left style="double">
        <color theme="0" tint="-0.34998626667073579"/>
      </left>
      <right style="double">
        <color theme="0" tint="-0.34998626667073579"/>
      </right>
      <top/>
      <bottom/>
      <diagonal/>
    </border>
    <border>
      <left/>
      <right style="medium">
        <color rgb="FF1F497D"/>
      </right>
      <top/>
      <bottom/>
      <diagonal/>
    </border>
    <border>
      <left style="double">
        <color theme="0" tint="-0.34998626667073579"/>
      </left>
      <right style="double">
        <color theme="0" tint="-0.34998626667073579"/>
      </right>
      <top/>
      <bottom style="double">
        <color theme="0" tint="-0.34998626667073579"/>
      </bottom>
      <diagonal/>
    </border>
    <border>
      <left/>
      <right/>
      <top/>
      <bottom style="thin">
        <color theme="4"/>
      </bottom>
      <diagonal/>
    </border>
    <border>
      <left/>
      <right/>
      <top/>
      <bottom style="thin">
        <color rgb="FF4F81BD"/>
      </bottom>
      <diagonal/>
    </border>
    <border>
      <left/>
      <right/>
      <top style="thin">
        <color rgb="FF4F81BD"/>
      </top>
      <bottom style="thin">
        <color rgb="FF4F81BD"/>
      </bottom>
      <diagonal/>
    </border>
    <border>
      <left/>
      <right style="thin">
        <color theme="0"/>
      </right>
      <top style="thin">
        <color theme="4" tint="-0.24994659260841701"/>
      </top>
      <bottom style="thin">
        <color theme="4" tint="-0.24994659260841701"/>
      </bottom>
      <diagonal/>
    </border>
    <border>
      <left style="thin">
        <color theme="0"/>
      </left>
      <right style="thin">
        <color theme="0"/>
      </right>
      <top style="thin">
        <color theme="4" tint="-0.24994659260841701"/>
      </top>
      <bottom style="thin">
        <color theme="4" tint="-0.24994659260841701"/>
      </bottom>
      <diagonal/>
    </border>
    <border>
      <left style="thin">
        <color theme="0"/>
      </left>
      <right/>
      <top style="thin">
        <color theme="4" tint="-0.24994659260841701"/>
      </top>
      <bottom style="thin">
        <color theme="4" tint="-0.24994659260841701"/>
      </bottom>
      <diagonal/>
    </border>
    <border>
      <left/>
      <right style="thin">
        <color theme="0"/>
      </right>
      <top style="thin">
        <color theme="4" tint="-0.24994659260841701"/>
      </top>
      <bottom/>
      <diagonal/>
    </border>
    <border>
      <left style="thin">
        <color theme="0"/>
      </left>
      <right style="thin">
        <color theme="0"/>
      </right>
      <top style="thin">
        <color theme="4" tint="-0.24994659260841701"/>
      </top>
      <bottom style="thin">
        <color theme="0"/>
      </bottom>
      <diagonal/>
    </border>
    <border>
      <left style="thin">
        <color theme="0"/>
      </left>
      <right/>
      <top style="thin">
        <color theme="4" tint="-0.24994659260841701"/>
      </top>
      <bottom style="thin">
        <color theme="0"/>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medium">
        <color rgb="FF1F497D"/>
      </right>
      <top/>
      <bottom style="medium">
        <color rgb="FF1F497D"/>
      </bottom>
      <diagonal/>
    </border>
    <border>
      <left/>
      <right style="thin">
        <color theme="0"/>
      </right>
      <top/>
      <bottom style="thin">
        <color theme="4" tint="-0.24994659260841701"/>
      </bottom>
      <diagonal/>
    </border>
    <border>
      <left style="thin">
        <color theme="0"/>
      </left>
      <right style="thin">
        <color theme="0"/>
      </right>
      <top style="thin">
        <color theme="0"/>
      </top>
      <bottom style="thin">
        <color theme="4" tint="-0.24994659260841701"/>
      </bottom>
      <diagonal/>
    </border>
    <border>
      <left style="thin">
        <color theme="0"/>
      </left>
      <right/>
      <top style="thin">
        <color theme="0"/>
      </top>
      <bottom style="thin">
        <color theme="4" tint="-0.24994659260841701"/>
      </bottom>
      <diagonal/>
    </border>
    <border>
      <left/>
      <right/>
      <top style="thin">
        <color rgb="FF4F81BD"/>
      </top>
      <bottom/>
      <diagonal/>
    </border>
    <border>
      <left style="thin">
        <color theme="0" tint="-0.34998626667073579"/>
      </left>
      <right style="thin">
        <color indexed="55"/>
      </right>
      <top style="thin">
        <color indexed="55"/>
      </top>
      <bottom style="thin">
        <color theme="0" tint="-0.34998626667073579"/>
      </bottom>
      <diagonal/>
    </border>
    <border>
      <left style="thin">
        <color theme="0" tint="-0.34998626667073579"/>
      </left>
      <right style="thin">
        <color indexed="55"/>
      </right>
      <top/>
      <bottom style="thin">
        <color indexed="55"/>
      </bottom>
      <diagonal/>
    </border>
    <border>
      <left style="thin">
        <color indexed="55"/>
      </left>
      <right style="thin">
        <color indexed="55"/>
      </right>
      <top/>
      <bottom style="thin">
        <color indexed="55"/>
      </bottom>
      <diagonal/>
    </border>
    <border>
      <left style="thin">
        <color theme="0"/>
      </left>
      <right/>
      <top/>
      <bottom/>
      <diagonal/>
    </border>
    <border>
      <left/>
      <right style="thin">
        <color theme="0"/>
      </right>
      <top style="thin">
        <color theme="0"/>
      </top>
      <bottom style="thin">
        <color theme="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62">
    <xf numFmtId="0" fontId="0" fillId="0" borderId="0"/>
    <xf numFmtId="0" fontId="6" fillId="0" borderId="0" applyAlignment="0"/>
    <xf numFmtId="0" fontId="15" fillId="0" borderId="0" applyNumberFormat="0" applyFill="0" applyBorder="0" applyAlignment="0" applyProtection="0"/>
    <xf numFmtId="0" fontId="131" fillId="0" borderId="0" applyBorder="0" applyProtection="0"/>
    <xf numFmtId="164" fontId="34" fillId="0" borderId="0" applyFill="0" applyBorder="0" applyAlignment="0" applyProtection="0"/>
    <xf numFmtId="0" fontId="7" fillId="0" borderId="0"/>
    <xf numFmtId="0" fontId="34" fillId="0" borderId="0"/>
    <xf numFmtId="0" fontId="130" fillId="0" borderId="0"/>
    <xf numFmtId="0" fontId="130" fillId="0" borderId="0"/>
    <xf numFmtId="0" fontId="4" fillId="0" borderId="0"/>
    <xf numFmtId="0" fontId="4" fillId="0" borderId="0"/>
    <xf numFmtId="0" fontId="34" fillId="0" borderId="0"/>
    <xf numFmtId="0" fontId="34" fillId="0" borderId="0"/>
    <xf numFmtId="0" fontId="130" fillId="0" borderId="0"/>
    <xf numFmtId="0" fontId="130" fillId="0" borderId="0"/>
    <xf numFmtId="0" fontId="4" fillId="0" borderId="0"/>
    <xf numFmtId="0" fontId="5" fillId="0" borderId="0"/>
    <xf numFmtId="0" fontId="130" fillId="0" borderId="0"/>
    <xf numFmtId="0" fontId="130" fillId="0" borderId="0"/>
    <xf numFmtId="0" fontId="4" fillId="0" borderId="0"/>
    <xf numFmtId="0" fontId="83" fillId="0" borderId="0"/>
    <xf numFmtId="0" fontId="34" fillId="0" borderId="0"/>
    <xf numFmtId="9" fontId="34" fillId="0" borderId="0" applyFill="0" applyBorder="0" applyAlignment="0" applyProtection="0"/>
    <xf numFmtId="49" fontId="81" fillId="2" borderId="0">
      <alignment horizontal="center" vertical="justify"/>
    </xf>
    <xf numFmtId="171" fontId="34" fillId="0" borderId="0"/>
    <xf numFmtId="172" fontId="3" fillId="0" borderId="0" applyFont="0" applyFill="0" applyBorder="0" applyAlignment="0" applyProtection="0"/>
    <xf numFmtId="171" fontId="3" fillId="29" borderId="0" applyNumberFormat="0" applyBorder="0" applyAlignment="0" applyProtection="0"/>
    <xf numFmtId="171" fontId="3" fillId="0" borderId="0"/>
    <xf numFmtId="0" fontId="3" fillId="0" borderId="0"/>
    <xf numFmtId="171" fontId="133" fillId="0" borderId="0"/>
    <xf numFmtId="172" fontId="34"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172" fontId="2" fillId="0" borderId="0" applyFont="0" applyFill="0" applyBorder="0" applyAlignment="0" applyProtection="0"/>
    <xf numFmtId="171" fontId="2" fillId="29" borderId="0" applyNumberFormat="0" applyBorder="0" applyAlignment="0" applyProtection="0"/>
    <xf numFmtId="171" fontId="2" fillId="0" borderId="0"/>
    <xf numFmtId="0" fontId="2" fillId="0" borderId="0"/>
    <xf numFmtId="9" fontId="2" fillId="0" borderId="0" applyFont="0" applyFill="0" applyBorder="0" applyAlignment="0" applyProtection="0"/>
    <xf numFmtId="0" fontId="1"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172" fontId="1" fillId="0" borderId="0" applyFont="0" applyFill="0" applyBorder="0" applyAlignment="0" applyProtection="0"/>
    <xf numFmtId="171" fontId="1" fillId="29" borderId="0" applyNumberFormat="0" applyBorder="0" applyAlignment="0" applyProtection="0"/>
    <xf numFmtId="171" fontId="1" fillId="0" borderId="0"/>
    <xf numFmtId="0" fontId="1" fillId="0" borderId="0"/>
    <xf numFmtId="0" fontId="4" fillId="0" borderId="0"/>
    <xf numFmtId="9" fontId="1" fillId="0" borderId="0" applyFont="0" applyFill="0" applyBorder="0" applyAlignment="0" applyProtection="0"/>
    <xf numFmtId="172" fontId="1" fillId="0" borderId="0" applyFont="0" applyFill="0" applyBorder="0" applyAlignment="0" applyProtection="0"/>
    <xf numFmtId="171" fontId="1" fillId="29" borderId="0" applyNumberFormat="0" applyBorder="0" applyAlignment="0" applyProtection="0"/>
    <xf numFmtId="171" fontId="1" fillId="0" borderId="0"/>
    <xf numFmtId="0" fontId="1" fillId="0" borderId="0"/>
    <xf numFmtId="9" fontId="1" fillId="0" borderId="0" applyFont="0" applyFill="0" applyBorder="0" applyAlignment="0" applyProtection="0"/>
    <xf numFmtId="0" fontId="4" fillId="0" borderId="0"/>
  </cellStyleXfs>
  <cellXfs count="3112">
    <xf numFmtId="0" fontId="0" fillId="0" borderId="0" xfId="0"/>
    <xf numFmtId="0" fontId="0" fillId="0" borderId="0" xfId="0" applyProtection="1"/>
    <xf numFmtId="0" fontId="0" fillId="0" borderId="5" xfId="0" applyBorder="1" applyProtection="1"/>
    <xf numFmtId="0" fontId="9" fillId="0" borderId="0" xfId="0" applyFont="1" applyProtection="1"/>
    <xf numFmtId="0" fontId="10" fillId="0" borderId="0" xfId="0" applyFont="1" applyProtection="1"/>
    <xf numFmtId="0" fontId="0" fillId="0" borderId="0" xfId="0" applyFill="1" applyProtection="1"/>
    <xf numFmtId="0" fontId="0" fillId="0" borderId="0" xfId="0" applyFill="1" applyBorder="1" applyProtection="1"/>
    <xf numFmtId="0" fontId="9" fillId="3" borderId="0" xfId="0" applyFont="1" applyFill="1" applyProtection="1"/>
    <xf numFmtId="0" fontId="0" fillId="3" borderId="0" xfId="0" applyFont="1" applyFill="1" applyProtection="1"/>
    <xf numFmtId="0" fontId="0" fillId="0" borderId="0" xfId="0" applyFont="1" applyProtection="1"/>
    <xf numFmtId="0" fontId="0" fillId="0" borderId="0" xfId="0" applyFont="1" applyBorder="1" applyProtection="1"/>
    <xf numFmtId="0" fontId="16" fillId="0" borderId="0" xfId="0" applyFont="1" applyFill="1" applyAlignment="1" applyProtection="1">
      <alignment vertical="center"/>
    </xf>
    <xf numFmtId="0" fontId="17" fillId="0" borderId="0" xfId="0" applyFont="1" applyFill="1" applyAlignment="1" applyProtection="1">
      <alignment vertical="center"/>
    </xf>
    <xf numFmtId="0" fontId="18" fillId="0" borderId="0" xfId="0" applyFont="1" applyFill="1" applyAlignment="1" applyProtection="1">
      <alignment vertical="center"/>
    </xf>
    <xf numFmtId="0" fontId="18" fillId="0" borderId="0" xfId="0" applyFont="1" applyFill="1" applyAlignment="1" applyProtection="1"/>
    <xf numFmtId="0" fontId="0" fillId="0" borderId="0" xfId="0" applyFill="1" applyAlignment="1" applyProtection="1"/>
    <xf numFmtId="0" fontId="16"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8" fillId="0" borderId="0" xfId="0" applyFont="1" applyFill="1" applyBorder="1" applyProtection="1"/>
    <xf numFmtId="0" fontId="19" fillId="0" borderId="0" xfId="0" applyFont="1" applyFill="1" applyBorder="1" applyProtection="1"/>
    <xf numFmtId="0" fontId="0" fillId="0" borderId="0" xfId="0" applyBorder="1" applyProtection="1"/>
    <xf numFmtId="0" fontId="20" fillId="0" borderId="0" xfId="0" applyFont="1" applyFill="1" applyAlignment="1" applyProtection="1">
      <alignment horizontal="center"/>
    </xf>
    <xf numFmtId="0" fontId="8" fillId="0" borderId="0" xfId="0" applyFont="1" applyFill="1" applyAlignment="1" applyProtection="1">
      <alignment horizontal="center"/>
    </xf>
    <xf numFmtId="0" fontId="16" fillId="0" borderId="0" xfId="0" applyFont="1" applyFill="1" applyProtection="1"/>
    <xf numFmtId="0" fontId="19" fillId="0" borderId="0" xfId="0" applyFont="1" applyFill="1" applyProtection="1"/>
    <xf numFmtId="0" fontId="18" fillId="0" borderId="0" xfId="0" applyFont="1" applyFill="1" applyProtection="1"/>
    <xf numFmtId="0" fontId="8" fillId="0" borderId="0" xfId="0" applyFont="1" applyFill="1" applyProtection="1"/>
    <xf numFmtId="0" fontId="0" fillId="0" borderId="0" xfId="0" applyFill="1" applyAlignment="1" applyProtection="1">
      <alignment vertical="center"/>
    </xf>
    <xf numFmtId="49" fontId="0" fillId="0" borderId="0" xfId="0" applyNumberFormat="1" applyFill="1" applyProtection="1"/>
    <xf numFmtId="49" fontId="0" fillId="0" borderId="0" xfId="0" applyNumberFormat="1" applyFont="1" applyFill="1" applyProtection="1"/>
    <xf numFmtId="0" fontId="8" fillId="0" borderId="0" xfId="0" applyFont="1" applyFill="1" applyAlignment="1" applyProtection="1"/>
    <xf numFmtId="0" fontId="0" fillId="0" borderId="0" xfId="0" applyFont="1" applyFill="1" applyAlignment="1" applyProtection="1"/>
    <xf numFmtId="0" fontId="0" fillId="0" borderId="0" xfId="0" applyFont="1" applyFill="1" applyBorder="1" applyAlignment="1" applyProtection="1"/>
    <xf numFmtId="0" fontId="8" fillId="0" borderId="0" xfId="0" applyFont="1" applyFill="1" applyBorder="1" applyAlignment="1" applyProtection="1">
      <alignment horizontal="center" vertical="center"/>
    </xf>
    <xf numFmtId="0" fontId="0" fillId="0" borderId="0" xfId="0" applyFont="1" applyFill="1" applyProtection="1"/>
    <xf numFmtId="0" fontId="16" fillId="0" borderId="0" xfId="0" applyFont="1" applyFill="1" applyAlignment="1" applyProtection="1">
      <alignment vertical="top"/>
    </xf>
    <xf numFmtId="0" fontId="19" fillId="0" borderId="0" xfId="0" applyFont="1" applyFill="1" applyAlignment="1" applyProtection="1">
      <alignment horizontal="center" vertical="center"/>
    </xf>
    <xf numFmtId="0" fontId="16" fillId="0" borderId="0" xfId="0" applyFont="1" applyFill="1" applyAlignment="1" applyProtection="1"/>
    <xf numFmtId="0" fontId="0" fillId="0" borderId="0" xfId="0" applyFont="1" applyFill="1" applyAlignment="1" applyProtection="1">
      <alignment vertical="center"/>
    </xf>
    <xf numFmtId="0" fontId="8" fillId="0" borderId="0" xfId="0" applyFont="1" applyFill="1" applyAlignment="1" applyProtection="1">
      <alignment vertical="center"/>
    </xf>
    <xf numFmtId="0" fontId="0" fillId="0" borderId="0" xfId="0" applyFill="1" applyBorder="1" applyAlignment="1" applyProtection="1"/>
    <xf numFmtId="0" fontId="0" fillId="0" borderId="8" xfId="0" applyFill="1" applyBorder="1" applyAlignment="1" applyProtection="1"/>
    <xf numFmtId="0" fontId="23" fillId="0" borderId="0" xfId="0" applyFont="1" applyAlignment="1" applyProtection="1">
      <alignment horizontal="center"/>
    </xf>
    <xf numFmtId="0" fontId="24" fillId="0" borderId="0" xfId="0" applyFont="1" applyProtection="1"/>
    <xf numFmtId="0" fontId="0" fillId="0" borderId="0" xfId="0" applyAlignment="1" applyProtection="1">
      <alignment horizontal="center"/>
    </xf>
    <xf numFmtId="0" fontId="8" fillId="0" borderId="9" xfId="0" applyFont="1" applyBorder="1" applyAlignment="1" applyProtection="1">
      <alignment horizontal="center"/>
    </xf>
    <xf numFmtId="0" fontId="0" fillId="0" borderId="0" xfId="0" applyFont="1" applyBorder="1" applyAlignment="1" applyProtection="1">
      <alignment horizontal="center"/>
    </xf>
    <xf numFmtId="0" fontId="8" fillId="0" borderId="0" xfId="0" applyFont="1" applyAlignment="1" applyProtection="1">
      <alignment wrapText="1"/>
    </xf>
    <xf numFmtId="0" fontId="15" fillId="0" borderId="0" xfId="2" applyNumberFormat="1" applyFont="1" applyFill="1" applyBorder="1" applyAlignment="1" applyProtection="1">
      <alignment horizontal="center"/>
    </xf>
    <xf numFmtId="0" fontId="0" fillId="0" borderId="0" xfId="0" applyFont="1" applyAlignment="1" applyProtection="1">
      <alignment wrapText="1"/>
    </xf>
    <xf numFmtId="0" fontId="8" fillId="0" borderId="0" xfId="0" applyFont="1" applyProtection="1"/>
    <xf numFmtId="0" fontId="8" fillId="0" borderId="0" xfId="0" applyFont="1" applyAlignment="1" applyProtection="1">
      <alignment horizontal="left" wrapText="1"/>
    </xf>
    <xf numFmtId="0" fontId="8" fillId="0" borderId="0" xfId="0" applyFont="1" applyBorder="1" applyAlignment="1" applyProtection="1">
      <alignment horizontal="center"/>
    </xf>
    <xf numFmtId="0" fontId="15" fillId="0" borderId="0" xfId="2" applyNumberFormat="1" applyFill="1" applyBorder="1" applyAlignment="1" applyProtection="1">
      <alignment horizontal="center"/>
    </xf>
    <xf numFmtId="0" fontId="19" fillId="0" borderId="0" xfId="0" applyFont="1" applyProtection="1"/>
    <xf numFmtId="0" fontId="21" fillId="0" borderId="0" xfId="0" applyFont="1" applyAlignment="1" applyProtection="1">
      <alignment horizontal="center"/>
    </xf>
    <xf numFmtId="0" fontId="0" fillId="0" borderId="0" xfId="0" applyAlignment="1" applyProtection="1"/>
    <xf numFmtId="0" fontId="0" fillId="0" borderId="0" xfId="0" applyFont="1" applyAlignment="1" applyProtection="1"/>
    <xf numFmtId="0" fontId="8" fillId="0" borderId="10" xfId="0" applyFont="1" applyBorder="1" applyAlignment="1" applyProtection="1">
      <alignment horizontal="center" vertical="center" wrapText="1"/>
    </xf>
    <xf numFmtId="0" fontId="19" fillId="4" borderId="11" xfId="0" applyFont="1" applyFill="1" applyBorder="1" applyAlignment="1" applyProtection="1">
      <alignment horizontal="left" vertical="center"/>
    </xf>
    <xf numFmtId="0" fontId="0" fillId="0" borderId="0" xfId="0" applyFont="1" applyAlignment="1" applyProtection="1">
      <alignment horizontal="center"/>
    </xf>
    <xf numFmtId="3" fontId="19" fillId="0" borderId="12" xfId="0" applyNumberFormat="1" applyFont="1" applyBorder="1" applyAlignment="1" applyProtection="1">
      <alignment vertical="center"/>
    </xf>
    <xf numFmtId="3" fontId="19" fillId="4" borderId="13" xfId="0" applyNumberFormat="1" applyFont="1" applyFill="1" applyBorder="1" applyAlignment="1" applyProtection="1">
      <alignment horizontal="left" vertical="center"/>
    </xf>
    <xf numFmtId="0" fontId="15" fillId="0" borderId="5" xfId="2" applyNumberFormat="1" applyFill="1" applyBorder="1" applyAlignment="1" applyProtection="1">
      <alignment horizontal="center"/>
    </xf>
    <xf numFmtId="0" fontId="8" fillId="0" borderId="2" xfId="0" applyFont="1" applyBorder="1" applyAlignment="1" applyProtection="1">
      <alignment horizontal="center" wrapText="1"/>
    </xf>
    <xf numFmtId="0" fontId="19" fillId="0" borderId="0" xfId="0" applyFont="1" applyBorder="1" applyProtection="1"/>
    <xf numFmtId="0" fontId="16" fillId="0" borderId="14" xfId="0" applyFont="1" applyBorder="1" applyProtection="1"/>
    <xf numFmtId="0" fontId="16" fillId="0" borderId="8"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8" xfId="0" applyFont="1" applyBorder="1" applyAlignment="1" applyProtection="1">
      <alignment horizontal="center" vertical="center" wrapText="1"/>
    </xf>
    <xf numFmtId="0" fontId="16" fillId="0" borderId="8" xfId="0" applyFont="1" applyBorder="1" applyProtection="1"/>
    <xf numFmtId="0" fontId="16" fillId="0" borderId="14" xfId="0" applyFont="1" applyBorder="1" applyAlignment="1" applyProtection="1">
      <alignment horizontal="center"/>
    </xf>
    <xf numFmtId="0" fontId="8" fillId="0" borderId="14" xfId="0" applyFont="1" applyBorder="1" applyProtection="1"/>
    <xf numFmtId="0" fontId="19" fillId="0" borderId="16" xfId="0" applyFont="1" applyBorder="1" applyProtection="1"/>
    <xf numFmtId="0" fontId="16" fillId="0" borderId="15" xfId="0" applyFont="1" applyBorder="1" applyAlignment="1" applyProtection="1">
      <alignment horizontal="center"/>
    </xf>
    <xf numFmtId="0" fontId="28" fillId="0" borderId="16" xfId="0" applyFont="1" applyBorder="1" applyAlignment="1" applyProtection="1">
      <alignment horizontal="center" wrapText="1"/>
    </xf>
    <xf numFmtId="0" fontId="28" fillId="0" borderId="8" xfId="0" applyFont="1" applyBorder="1" applyAlignment="1" applyProtection="1">
      <alignment horizontal="center" wrapText="1"/>
    </xf>
    <xf numFmtId="0" fontId="16" fillId="0" borderId="16" xfId="0" applyFont="1" applyBorder="1" applyAlignment="1" applyProtection="1">
      <alignment horizontal="center"/>
    </xf>
    <xf numFmtId="0" fontId="8" fillId="0" borderId="16" xfId="0" applyFont="1" applyBorder="1" applyProtection="1"/>
    <xf numFmtId="0" fontId="28" fillId="0" borderId="15" xfId="0" applyFont="1" applyBorder="1" applyAlignment="1" applyProtection="1">
      <alignment horizontal="center" wrapText="1"/>
    </xf>
    <xf numFmtId="0" fontId="16" fillId="0" borderId="8" xfId="0" applyFont="1" applyBorder="1" applyAlignment="1" applyProtection="1">
      <alignment horizontal="center"/>
    </xf>
    <xf numFmtId="0" fontId="8" fillId="0" borderId="0" xfId="0" applyFont="1" applyBorder="1" applyProtection="1"/>
    <xf numFmtId="0" fontId="19" fillId="0" borderId="17" xfId="0" applyFont="1" applyBorder="1" applyProtection="1"/>
    <xf numFmtId="0" fontId="16" fillId="0" borderId="18" xfId="0" applyFont="1" applyBorder="1" applyAlignment="1" applyProtection="1">
      <alignment horizontal="center"/>
    </xf>
    <xf numFmtId="0" fontId="16" fillId="0" borderId="17" xfId="0" applyFont="1" applyBorder="1" applyAlignment="1" applyProtection="1">
      <alignment horizontal="center"/>
    </xf>
    <xf numFmtId="0" fontId="8" fillId="0" borderId="18" xfId="0" applyFont="1" applyBorder="1" applyProtection="1"/>
    <xf numFmtId="0" fontId="8" fillId="0" borderId="19" xfId="0" applyFont="1" applyBorder="1" applyAlignment="1" applyProtection="1">
      <alignment horizontal="center" vertical="center"/>
    </xf>
    <xf numFmtId="3" fontId="16" fillId="0" borderId="0" xfId="0" applyNumberFormat="1" applyFont="1" applyBorder="1" applyAlignment="1" applyProtection="1">
      <alignment horizontal="center" vertical="center"/>
    </xf>
    <xf numFmtId="3" fontId="19" fillId="0" borderId="10" xfId="0" applyNumberFormat="1" applyFont="1" applyBorder="1" applyAlignment="1" applyProtection="1">
      <alignment vertical="center"/>
    </xf>
    <xf numFmtId="3" fontId="19" fillId="0" borderId="18" xfId="0" applyNumberFormat="1" applyFont="1" applyBorder="1" applyAlignment="1" applyProtection="1">
      <alignment vertical="center"/>
    </xf>
    <xf numFmtId="3" fontId="19" fillId="0" borderId="0" xfId="0" applyNumberFormat="1" applyFont="1" applyProtection="1"/>
    <xf numFmtId="3" fontId="19" fillId="0" borderId="0" xfId="0" applyNumberFormat="1" applyFont="1" applyBorder="1" applyAlignment="1" applyProtection="1">
      <alignment vertical="center"/>
    </xf>
    <xf numFmtId="3" fontId="8" fillId="0" borderId="0" xfId="0" applyNumberFormat="1" applyFont="1" applyAlignment="1" applyProtection="1">
      <alignment horizontal="center"/>
    </xf>
    <xf numFmtId="3" fontId="19" fillId="5" borderId="10" xfId="0" applyNumberFormat="1" applyFont="1" applyFill="1" applyBorder="1" applyAlignment="1" applyProtection="1">
      <alignment vertical="center"/>
    </xf>
    <xf numFmtId="3" fontId="19" fillId="0" borderId="10" xfId="0" applyNumberFormat="1" applyFont="1" applyBorder="1" applyAlignment="1" applyProtection="1">
      <alignment vertical="center" wrapText="1"/>
    </xf>
    <xf numFmtId="0" fontId="19" fillId="0" borderId="10" xfId="0" applyFont="1" applyBorder="1" applyAlignment="1" applyProtection="1">
      <alignment vertical="center"/>
    </xf>
    <xf numFmtId="0" fontId="19" fillId="0" borderId="18" xfId="0" applyFont="1" applyBorder="1" applyAlignment="1" applyProtection="1">
      <alignment vertical="center"/>
    </xf>
    <xf numFmtId="0" fontId="19" fillId="0" borderId="0" xfId="0" applyFont="1" applyBorder="1" applyAlignment="1" applyProtection="1">
      <alignment vertical="center"/>
    </xf>
    <xf numFmtId="0" fontId="19" fillId="0" borderId="10" xfId="0" applyFont="1" applyBorder="1" applyAlignment="1" applyProtection="1">
      <alignment vertical="center" wrapText="1"/>
    </xf>
    <xf numFmtId="0" fontId="8" fillId="0" borderId="0" xfId="0" applyFont="1" applyBorder="1" applyAlignment="1" applyProtection="1">
      <alignment horizontal="center" vertical="center"/>
    </xf>
    <xf numFmtId="0" fontId="19" fillId="5" borderId="10" xfId="0" applyFont="1" applyFill="1" applyBorder="1" applyAlignment="1" applyProtection="1">
      <alignment vertical="center"/>
    </xf>
    <xf numFmtId="0" fontId="8" fillId="0" borderId="11" xfId="0" applyFont="1" applyBorder="1" applyAlignment="1" applyProtection="1">
      <alignment horizontal="center" vertical="center"/>
    </xf>
    <xf numFmtId="0" fontId="19" fillId="0" borderId="18" xfId="0" applyFont="1" applyBorder="1" applyAlignment="1" applyProtection="1">
      <alignment vertical="center" wrapText="1"/>
    </xf>
    <xf numFmtId="0" fontId="16" fillId="0" borderId="0" xfId="0" applyFont="1" applyBorder="1" applyAlignment="1" applyProtection="1">
      <alignment vertical="center" wrapText="1"/>
    </xf>
    <xf numFmtId="0" fontId="19" fillId="5" borderId="10" xfId="0" applyFont="1" applyFill="1" applyBorder="1" applyAlignment="1" applyProtection="1">
      <alignment vertical="center" wrapText="1"/>
    </xf>
    <xf numFmtId="0" fontId="8" fillId="0" borderId="0" xfId="0" applyFont="1" applyBorder="1" applyAlignment="1" applyProtection="1">
      <alignment horizontal="center" vertical="center" wrapText="1"/>
    </xf>
    <xf numFmtId="0" fontId="19" fillId="5" borderId="18" xfId="0" applyFont="1" applyFill="1" applyBorder="1" applyAlignment="1" applyProtection="1">
      <alignment vertical="center"/>
    </xf>
    <xf numFmtId="0" fontId="8" fillId="0" borderId="10" xfId="0" applyFont="1" applyBorder="1" applyAlignment="1" applyProtection="1">
      <alignment horizontal="center" vertical="center"/>
    </xf>
    <xf numFmtId="0" fontId="0" fillId="0" borderId="0" xfId="0" applyFont="1" applyAlignment="1" applyProtection="1">
      <alignment horizontal="justify" vertical="center"/>
    </xf>
    <xf numFmtId="0" fontId="8" fillId="0" borderId="10" xfId="0" applyFont="1" applyBorder="1" applyProtection="1"/>
    <xf numFmtId="0" fontId="8" fillId="0" borderId="0" xfId="0" applyFont="1" applyAlignment="1" applyProtection="1">
      <alignment horizontal="center"/>
    </xf>
    <xf numFmtId="0" fontId="8" fillId="0" borderId="10" xfId="0" applyFont="1" applyBorder="1" applyAlignment="1" applyProtection="1">
      <alignment horizontal="center" wrapText="1"/>
    </xf>
    <xf numFmtId="0" fontId="8" fillId="5" borderId="14" xfId="0" applyFont="1" applyFill="1" applyBorder="1" applyProtection="1"/>
    <xf numFmtId="0" fontId="8" fillId="5" borderId="10" xfId="0" applyFont="1" applyFill="1" applyBorder="1" applyProtection="1"/>
    <xf numFmtId="0" fontId="8" fillId="0" borderId="20" xfId="0" applyFont="1" applyBorder="1" applyAlignment="1" applyProtection="1">
      <alignment horizontal="center" vertical="center" wrapText="1"/>
    </xf>
    <xf numFmtId="0" fontId="16" fillId="4" borderId="10" xfId="0" applyFont="1" applyFill="1" applyBorder="1" applyAlignment="1" applyProtection="1">
      <alignment vertical="center" wrapText="1"/>
    </xf>
    <xf numFmtId="0" fontId="16" fillId="0" borderId="10" xfId="0" applyFont="1" applyBorder="1" applyAlignment="1" applyProtection="1">
      <alignment vertical="center" wrapText="1"/>
    </xf>
    <xf numFmtId="0" fontId="16" fillId="0" borderId="21" xfId="0" applyFont="1" applyBorder="1" applyAlignment="1" applyProtection="1">
      <alignment vertical="center" wrapText="1"/>
    </xf>
    <xf numFmtId="0" fontId="16" fillId="0" borderId="10" xfId="0" applyFont="1" applyFill="1" applyBorder="1" applyAlignment="1" applyProtection="1">
      <alignment horizontal="center" vertical="center"/>
    </xf>
    <xf numFmtId="0" fontId="19" fillId="0" borderId="10" xfId="0" applyFont="1" applyBorder="1" applyAlignment="1" applyProtection="1">
      <alignment horizontal="left" vertical="center"/>
    </xf>
    <xf numFmtId="0" fontId="19" fillId="0" borderId="18" xfId="0" applyFont="1" applyBorder="1" applyAlignment="1" applyProtection="1">
      <alignment horizontal="left" vertical="center" wrapText="1"/>
    </xf>
    <xf numFmtId="0" fontId="19" fillId="0" borderId="17" xfId="0" applyFont="1" applyBorder="1" applyAlignment="1" applyProtection="1">
      <alignment horizontal="left" vertical="center"/>
    </xf>
    <xf numFmtId="0" fontId="19" fillId="0" borderId="12" xfId="0" applyFont="1" applyBorder="1" applyAlignment="1" applyProtection="1">
      <alignment horizontal="left" vertical="center"/>
    </xf>
    <xf numFmtId="0" fontId="16" fillId="0" borderId="10" xfId="0" applyFont="1" applyBorder="1" applyAlignment="1" applyProtection="1">
      <alignment horizontal="left" vertical="center"/>
    </xf>
    <xf numFmtId="0" fontId="16" fillId="0" borderId="0" xfId="0" applyFont="1" applyBorder="1" applyAlignment="1" applyProtection="1">
      <alignment horizontal="center"/>
    </xf>
    <xf numFmtId="0" fontId="17" fillId="0" borderId="10" xfId="0" applyFont="1" applyBorder="1" applyAlignment="1" applyProtection="1">
      <alignment horizontal="center"/>
    </xf>
    <xf numFmtId="0" fontId="19" fillId="0" borderId="0" xfId="0" applyFont="1" applyBorder="1" applyAlignment="1" applyProtection="1">
      <alignment horizontal="center" vertical="center" wrapText="1"/>
    </xf>
    <xf numFmtId="0" fontId="19" fillId="0" borderId="22" xfId="0" applyFont="1" applyFill="1" applyBorder="1" applyAlignment="1" applyProtection="1">
      <alignment horizontal="left" vertical="center" wrapText="1" indent="1"/>
    </xf>
    <xf numFmtId="0" fontId="19" fillId="0" borderId="23" xfId="0" applyFont="1" applyFill="1" applyBorder="1" applyAlignment="1" applyProtection="1">
      <alignment horizontal="left" vertical="center" wrapText="1" indent="1"/>
    </xf>
    <xf numFmtId="0" fontId="30" fillId="0" borderId="0" xfId="0" applyFont="1" applyFill="1" applyProtection="1"/>
    <xf numFmtId="0" fontId="8" fillId="0" borderId="10" xfId="2" applyNumberFormat="1" applyFont="1" applyFill="1" applyBorder="1" applyAlignment="1" applyProtection="1">
      <alignment horizontal="center" vertical="center" wrapText="1" shrinkToFit="1"/>
    </xf>
    <xf numFmtId="0" fontId="18" fillId="0" borderId="0" xfId="0" applyFont="1" applyAlignment="1" applyProtection="1">
      <alignment horizontal="center"/>
    </xf>
    <xf numFmtId="0" fontId="18" fillId="0" borderId="0" xfId="0" applyFont="1" applyBorder="1" applyAlignment="1" applyProtection="1">
      <alignment horizontal="center"/>
    </xf>
    <xf numFmtId="0" fontId="19" fillId="0" borderId="14" xfId="0" applyFont="1" applyBorder="1" applyAlignment="1" applyProtection="1">
      <alignment vertical="center"/>
    </xf>
    <xf numFmtId="0" fontId="19" fillId="0" borderId="0" xfId="0" applyFont="1" applyBorder="1" applyAlignment="1" applyProtection="1">
      <alignment vertical="center" wrapText="1"/>
    </xf>
    <xf numFmtId="0" fontId="19" fillId="0" borderId="0" xfId="0" applyFont="1" applyFill="1" applyBorder="1" applyAlignment="1" applyProtection="1">
      <alignment vertical="center"/>
    </xf>
    <xf numFmtId="0" fontId="34" fillId="0" borderId="0" xfId="11" applyProtection="1"/>
    <xf numFmtId="0" fontId="34" fillId="0" borderId="0" xfId="11" applyFont="1" applyProtection="1"/>
    <xf numFmtId="0" fontId="8" fillId="0" borderId="24" xfId="11" applyFont="1" applyBorder="1" applyAlignment="1" applyProtection="1">
      <alignment horizontal="left" wrapText="1"/>
    </xf>
    <xf numFmtId="3" fontId="17" fillId="0" borderId="18" xfId="11" applyNumberFormat="1" applyFont="1" applyBorder="1" applyAlignment="1" applyProtection="1">
      <alignment vertical="center"/>
    </xf>
    <xf numFmtId="3" fontId="17" fillId="0" borderId="10" xfId="11" applyNumberFormat="1" applyFont="1" applyBorder="1" applyAlignment="1" applyProtection="1">
      <alignment vertical="center"/>
    </xf>
    <xf numFmtId="0" fontId="17" fillId="0" borderId="10" xfId="11" applyFont="1" applyBorder="1" applyAlignment="1" applyProtection="1">
      <alignment horizontal="left" vertical="center"/>
    </xf>
    <xf numFmtId="0" fontId="17" fillId="0" borderId="10" xfId="11" applyFont="1" applyBorder="1" applyAlignment="1" applyProtection="1">
      <alignment vertical="center"/>
    </xf>
    <xf numFmtId="0" fontId="17" fillId="0" borderId="10" xfId="11" applyFont="1" applyBorder="1" applyAlignment="1" applyProtection="1">
      <alignment vertical="center" wrapText="1"/>
    </xf>
    <xf numFmtId="0" fontId="18" fillId="0" borderId="13" xfId="11" applyFont="1" applyBorder="1" applyAlignment="1" applyProtection="1">
      <alignment vertical="center" wrapText="1"/>
    </xf>
    <xf numFmtId="0" fontId="34" fillId="0" borderId="13" xfId="11" applyFont="1" applyFill="1" applyBorder="1" applyProtection="1"/>
    <xf numFmtId="0" fontId="19" fillId="0" borderId="0" xfId="6" applyFont="1" applyBorder="1" applyProtection="1"/>
    <xf numFmtId="0" fontId="34" fillId="0" borderId="0" xfId="6" applyProtection="1"/>
    <xf numFmtId="0" fontId="34" fillId="0" borderId="0" xfId="6" applyFont="1" applyProtection="1"/>
    <xf numFmtId="0" fontId="34" fillId="0" borderId="0" xfId="6" applyFont="1" applyFill="1" applyProtection="1"/>
    <xf numFmtId="0" fontId="34" fillId="0" borderId="0" xfId="6" applyFont="1" applyBorder="1" applyProtection="1"/>
    <xf numFmtId="0" fontId="19" fillId="0" borderId="0" xfId="6" applyFont="1" applyProtection="1"/>
    <xf numFmtId="0" fontId="34" fillId="0" borderId="0" xfId="6" applyFont="1" applyFill="1" applyAlignment="1" applyProtection="1">
      <alignment wrapText="1"/>
    </xf>
    <xf numFmtId="0" fontId="19" fillId="0" borderId="25" xfId="6" applyFont="1" applyBorder="1" applyProtection="1"/>
    <xf numFmtId="0" fontId="19" fillId="0" borderId="25" xfId="6" applyFont="1" applyBorder="1" applyAlignment="1" applyProtection="1">
      <alignment horizontal="center"/>
    </xf>
    <xf numFmtId="3" fontId="16" fillId="0" borderId="0" xfId="6" applyNumberFormat="1" applyFont="1" applyBorder="1" applyAlignment="1" applyProtection="1">
      <alignment horizontal="center" vertical="center" wrapText="1"/>
    </xf>
    <xf numFmtId="0" fontId="16" fillId="0" borderId="0" xfId="6" applyFont="1" applyBorder="1" applyAlignment="1" applyProtection="1">
      <alignment horizontal="center" wrapText="1"/>
    </xf>
    <xf numFmtId="0" fontId="16" fillId="0" borderId="0" xfId="6" applyFont="1" applyBorder="1" applyAlignment="1" applyProtection="1">
      <alignment horizontal="center" vertical="center" wrapText="1"/>
    </xf>
    <xf numFmtId="0" fontId="16" fillId="0" borderId="11" xfId="6" applyFont="1" applyBorder="1" applyAlignment="1" applyProtection="1">
      <alignment horizontal="center" vertical="center" wrapText="1"/>
    </xf>
    <xf numFmtId="0" fontId="19" fillId="0" borderId="18" xfId="6" applyFont="1" applyBorder="1" applyAlignment="1" applyProtection="1">
      <alignment vertical="center" wrapText="1"/>
    </xf>
    <xf numFmtId="0" fontId="19" fillId="0" borderId="11" xfId="6" applyFont="1" applyBorder="1" applyAlignment="1" applyProtection="1">
      <alignment vertical="center" wrapText="1"/>
    </xf>
    <xf numFmtId="3" fontId="19" fillId="0" borderId="0" xfId="6" applyNumberFormat="1" applyFont="1" applyBorder="1" applyAlignment="1" applyProtection="1">
      <alignment wrapText="1"/>
    </xf>
    <xf numFmtId="0" fontId="18" fillId="0" borderId="0" xfId="11" applyFont="1" applyBorder="1" applyProtection="1"/>
    <xf numFmtId="0" fontId="34" fillId="0" borderId="0" xfId="11" applyFont="1" applyBorder="1" applyProtection="1"/>
    <xf numFmtId="0" fontId="8" fillId="0" borderId="0" xfId="11" applyFont="1" applyAlignment="1" applyProtection="1">
      <alignment horizontal="center"/>
    </xf>
    <xf numFmtId="0" fontId="34" fillId="0" borderId="0" xfId="11" applyFont="1" applyAlignment="1" applyProtection="1">
      <alignment horizontal="left"/>
    </xf>
    <xf numFmtId="0" fontId="8" fillId="0" borderId="0" xfId="11" applyFont="1" applyBorder="1" applyAlignment="1" applyProtection="1">
      <alignment horizontal="center"/>
    </xf>
    <xf numFmtId="0" fontId="8" fillId="0" borderId="2" xfId="11" applyFont="1" applyBorder="1" applyAlignment="1" applyProtection="1">
      <alignment horizontal="center"/>
    </xf>
    <xf numFmtId="0" fontId="34" fillId="0" borderId="0" xfId="11" applyFont="1" applyBorder="1" applyAlignment="1" applyProtection="1"/>
    <xf numFmtId="0" fontId="34" fillId="0" borderId="0" xfId="11" applyFont="1" applyBorder="1" applyAlignment="1" applyProtection="1">
      <alignment horizontal="left"/>
    </xf>
    <xf numFmtId="0" fontId="24" fillId="0" borderId="0" xfId="11" applyFont="1" applyBorder="1" applyAlignment="1" applyProtection="1">
      <alignment wrapText="1"/>
    </xf>
    <xf numFmtId="0" fontId="8" fillId="0" borderId="0" xfId="11" applyFont="1" applyBorder="1" applyAlignment="1" applyProtection="1">
      <alignment horizontal="center" vertical="center" wrapText="1"/>
    </xf>
    <xf numFmtId="0" fontId="8" fillId="0" borderId="26" xfId="11" applyFont="1" applyBorder="1" applyAlignment="1" applyProtection="1">
      <alignment horizontal="center" vertical="center" wrapText="1"/>
    </xf>
    <xf numFmtId="0" fontId="8" fillId="0" borderId="20" xfId="11" applyFont="1" applyBorder="1" applyAlignment="1" applyProtection="1">
      <alignment horizontal="center" vertical="center" wrapText="1"/>
    </xf>
    <xf numFmtId="0" fontId="8" fillId="0" borderId="20" xfId="11" applyFont="1" applyBorder="1" applyAlignment="1" applyProtection="1">
      <alignment horizontal="center" vertical="center"/>
    </xf>
    <xf numFmtId="0" fontId="8" fillId="0" borderId="0" xfId="11" applyFont="1" applyBorder="1" applyAlignment="1" applyProtection="1">
      <alignment horizontal="center" vertical="center"/>
    </xf>
    <xf numFmtId="3" fontId="34" fillId="0" borderId="0" xfId="11" applyNumberFormat="1" applyFont="1" applyBorder="1" applyAlignment="1" applyProtection="1">
      <alignment horizontal="right" vertical="center"/>
    </xf>
    <xf numFmtId="3" fontId="34" fillId="0" borderId="16" xfId="11" applyNumberFormat="1" applyFont="1" applyBorder="1" applyAlignment="1" applyProtection="1">
      <alignment horizontal="right" vertical="center"/>
    </xf>
    <xf numFmtId="0" fontId="19" fillId="0" borderId="0" xfId="11" applyFont="1" applyProtection="1"/>
    <xf numFmtId="0" fontId="16" fillId="0" borderId="27" xfId="6" applyFont="1" applyBorder="1" applyAlignment="1" applyProtection="1">
      <alignment horizontal="center" vertical="center"/>
    </xf>
    <xf numFmtId="3" fontId="19" fillId="0" borderId="10" xfId="6" applyNumberFormat="1" applyFont="1" applyBorder="1" applyAlignment="1" applyProtection="1">
      <alignment horizontal="left" vertical="center" wrapText="1"/>
    </xf>
    <xf numFmtId="3" fontId="19" fillId="0" borderId="10" xfId="6" applyNumberFormat="1" applyFont="1" applyBorder="1" applyAlignment="1" applyProtection="1">
      <alignment vertical="center" wrapText="1"/>
    </xf>
    <xf numFmtId="3" fontId="16" fillId="0" borderId="0" xfId="6" applyNumberFormat="1" applyFont="1" applyBorder="1" applyAlignment="1" applyProtection="1">
      <alignment horizontal="center" wrapText="1"/>
    </xf>
    <xf numFmtId="0" fontId="19" fillId="0" borderId="10" xfId="6" applyFont="1" applyBorder="1" applyAlignment="1" applyProtection="1">
      <alignment vertical="center" wrapText="1"/>
    </xf>
    <xf numFmtId="0" fontId="19" fillId="0" borderId="12" xfId="6" applyFont="1" applyBorder="1" applyAlignment="1" applyProtection="1">
      <alignment vertical="center" wrapText="1"/>
    </xf>
    <xf numFmtId="0" fontId="19" fillId="0" borderId="10" xfId="6" applyFont="1" applyBorder="1" applyAlignment="1" applyProtection="1">
      <alignment horizontal="left" vertical="center" wrapText="1"/>
    </xf>
    <xf numFmtId="0" fontId="19" fillId="5" borderId="10" xfId="6" applyFont="1" applyFill="1" applyBorder="1" applyAlignment="1" applyProtection="1">
      <alignment vertical="center" wrapText="1"/>
    </xf>
    <xf numFmtId="0" fontId="21" fillId="0" borderId="0" xfId="6" applyFont="1" applyProtection="1"/>
    <xf numFmtId="0" fontId="16" fillId="0" borderId="13" xfId="6" applyFont="1" applyBorder="1" applyAlignment="1" applyProtection="1">
      <alignment horizontal="center" vertical="center" wrapText="1"/>
    </xf>
    <xf numFmtId="0" fontId="34" fillId="0" borderId="24" xfId="6" applyFont="1" applyBorder="1" applyProtection="1"/>
    <xf numFmtId="0" fontId="34" fillId="0" borderId="27" xfId="6" applyFont="1" applyBorder="1" applyProtection="1"/>
    <xf numFmtId="0" fontId="19" fillId="0" borderId="28" xfId="6" applyFont="1" applyBorder="1" applyAlignment="1" applyProtection="1">
      <alignment horizontal="center"/>
    </xf>
    <xf numFmtId="0" fontId="19" fillId="0" borderId="15" xfId="6" applyFont="1" applyBorder="1" applyAlignment="1" applyProtection="1">
      <alignment horizontal="center"/>
    </xf>
    <xf numFmtId="0" fontId="19" fillId="0" borderId="14" xfId="6" applyFont="1" applyBorder="1" applyAlignment="1" applyProtection="1">
      <alignment horizontal="center"/>
    </xf>
    <xf numFmtId="0" fontId="19" fillId="0" borderId="24" xfId="6" applyFont="1" applyBorder="1" applyAlignment="1" applyProtection="1">
      <alignment horizontal="center"/>
    </xf>
    <xf numFmtId="0" fontId="34" fillId="0" borderId="24" xfId="6" applyFont="1" applyFill="1" applyBorder="1" applyProtection="1"/>
    <xf numFmtId="0" fontId="8" fillId="0" borderId="0" xfId="6" applyFont="1" applyProtection="1"/>
    <xf numFmtId="0" fontId="35" fillId="0" borderId="0" xfId="13" applyFont="1" applyFill="1" applyAlignment="1" applyProtection="1">
      <alignment vertical="center" wrapText="1"/>
    </xf>
    <xf numFmtId="0" fontId="18" fillId="0" borderId="0" xfId="0" applyFont="1" applyFill="1" applyAlignment="1" applyProtection="1">
      <alignment horizontal="center"/>
    </xf>
    <xf numFmtId="0" fontId="44" fillId="0" borderId="0" xfId="0" applyFont="1" applyFill="1" applyAlignment="1" applyProtection="1"/>
    <xf numFmtId="0" fontId="19" fillId="6" borderId="29" xfId="6" applyFont="1" applyFill="1" applyBorder="1" applyAlignment="1" applyProtection="1">
      <alignment wrapText="1"/>
    </xf>
    <xf numFmtId="0" fontId="19" fillId="6" borderId="17" xfId="6" applyFont="1" applyFill="1" applyBorder="1" applyAlignment="1" applyProtection="1">
      <alignment vertical="center" wrapText="1"/>
    </xf>
    <xf numFmtId="0" fontId="19" fillId="6" borderId="17" xfId="6" applyFont="1" applyFill="1" applyBorder="1" applyAlignment="1" applyProtection="1">
      <alignment vertical="center"/>
    </xf>
    <xf numFmtId="0" fontId="19" fillId="7" borderId="17" xfId="6" applyFont="1" applyFill="1" applyBorder="1" applyAlignment="1" applyProtection="1">
      <alignment vertical="center"/>
    </xf>
    <xf numFmtId="0" fontId="19" fillId="7" borderId="30" xfId="6" applyFont="1" applyFill="1" applyBorder="1" applyAlignment="1" applyProtection="1">
      <alignment vertical="center" wrapText="1"/>
    </xf>
    <xf numFmtId="0" fontId="19" fillId="7" borderId="31" xfId="6" applyFont="1" applyFill="1" applyBorder="1" applyAlignment="1" applyProtection="1">
      <alignment vertical="center"/>
    </xf>
    <xf numFmtId="0" fontId="19" fillId="7" borderId="11" xfId="6" applyFont="1" applyFill="1" applyBorder="1" applyAlignment="1" applyProtection="1">
      <alignment vertical="center"/>
    </xf>
    <xf numFmtId="0" fontId="19" fillId="7" borderId="13" xfId="6" applyFont="1" applyFill="1" applyBorder="1" applyAlignment="1" applyProtection="1">
      <alignment vertical="center" wrapText="1"/>
    </xf>
    <xf numFmtId="0" fontId="19" fillId="7" borderId="0" xfId="6" applyFont="1" applyFill="1" applyBorder="1" applyAlignment="1" applyProtection="1">
      <alignment vertical="center" wrapText="1"/>
    </xf>
    <xf numFmtId="0" fontId="19" fillId="0" borderId="32" xfId="0" applyFont="1" applyFill="1" applyBorder="1" applyAlignment="1" applyProtection="1">
      <alignment horizontal="left" vertical="center" wrapText="1" indent="1"/>
    </xf>
    <xf numFmtId="0" fontId="19" fillId="5" borderId="10" xfId="6" applyFont="1" applyFill="1" applyBorder="1" applyAlignment="1" applyProtection="1">
      <alignment wrapText="1"/>
    </xf>
    <xf numFmtId="0" fontId="19" fillId="0" borderId="10" xfId="6" applyFont="1" applyBorder="1" applyAlignment="1" applyProtection="1">
      <alignment wrapText="1"/>
    </xf>
    <xf numFmtId="0" fontId="16" fillId="0" borderId="10" xfId="0" applyFont="1" applyBorder="1" applyAlignment="1" applyProtection="1">
      <alignment horizontal="center" vertical="center" wrapText="1"/>
    </xf>
    <xf numFmtId="0" fontId="0" fillId="0" borderId="0" xfId="0" applyAlignment="1" applyProtection="1">
      <alignment wrapText="1"/>
    </xf>
    <xf numFmtId="3" fontId="34" fillId="0" borderId="8" xfId="11" applyNumberFormat="1" applyFont="1" applyBorder="1" applyAlignment="1" applyProtection="1">
      <alignment horizontal="right" vertical="center"/>
    </xf>
    <xf numFmtId="0" fontId="8" fillId="0" borderId="10" xfId="2" applyNumberFormat="1" applyFont="1" applyFill="1" applyBorder="1" applyAlignment="1" applyProtection="1">
      <alignment horizontal="center" vertical="center" wrapText="1"/>
    </xf>
    <xf numFmtId="0" fontId="17" fillId="0" borderId="0" xfId="0" applyFont="1" applyFill="1" applyProtection="1"/>
    <xf numFmtId="0" fontId="35" fillId="0" borderId="0" xfId="13" applyFont="1" applyFill="1" applyProtection="1"/>
    <xf numFmtId="0" fontId="35" fillId="0" borderId="0" xfId="13" applyFont="1" applyFill="1" applyAlignment="1" applyProtection="1">
      <alignment vertical="center"/>
    </xf>
    <xf numFmtId="0" fontId="35" fillId="0" borderId="0" xfId="13" applyFont="1" applyFill="1" applyAlignment="1" applyProtection="1">
      <alignment horizontal="center" vertical="center" wrapText="1"/>
    </xf>
    <xf numFmtId="0" fontId="16" fillId="0" borderId="0" xfId="6" applyFont="1" applyBorder="1" applyAlignment="1" applyProtection="1">
      <alignment vertical="center"/>
    </xf>
    <xf numFmtId="0" fontId="19" fillId="6" borderId="33" xfId="6" applyFont="1" applyFill="1" applyBorder="1" applyAlignment="1" applyProtection="1">
      <alignment vertical="center" wrapText="1"/>
    </xf>
    <xf numFmtId="0" fontId="16" fillId="0" borderId="14" xfId="6" applyFont="1" applyBorder="1" applyProtection="1"/>
    <xf numFmtId="0" fontId="8" fillId="0" borderId="0" xfId="2" applyNumberFormat="1" applyFont="1" applyFill="1" applyBorder="1" applyAlignment="1" applyProtection="1">
      <alignment horizontal="center" vertical="center" wrapText="1"/>
    </xf>
    <xf numFmtId="0" fontId="8" fillId="0" borderId="0" xfId="2" applyNumberFormat="1" applyFont="1" applyFill="1" applyBorder="1" applyAlignment="1" applyProtection="1">
      <alignment horizontal="center" vertical="center" wrapText="1" shrinkToFit="1"/>
    </xf>
    <xf numFmtId="0" fontId="34" fillId="0" borderId="12" xfId="6" applyFont="1" applyBorder="1" applyAlignment="1" applyProtection="1">
      <alignment horizontal="center" vertical="center"/>
    </xf>
    <xf numFmtId="0" fontId="34" fillId="0" borderId="10" xfId="6" applyFont="1" applyBorder="1" applyAlignment="1" applyProtection="1">
      <alignment horizontal="center" vertical="center"/>
    </xf>
    <xf numFmtId="0" fontId="34" fillId="0" borderId="18" xfId="6" applyFont="1" applyBorder="1" applyAlignment="1" applyProtection="1">
      <alignment horizontal="left" vertical="center"/>
    </xf>
    <xf numFmtId="0" fontId="16" fillId="0" borderId="18" xfId="0" applyFont="1" applyBorder="1" applyAlignment="1" applyProtection="1">
      <alignment horizontal="center" vertical="center" wrapText="1"/>
    </xf>
    <xf numFmtId="0" fontId="19" fillId="0" borderId="8" xfId="6" applyFont="1" applyBorder="1" applyAlignment="1" applyProtection="1">
      <alignment horizontal="center" vertical="center"/>
    </xf>
    <xf numFmtId="0" fontId="19" fillId="0" borderId="34" xfId="6" applyFont="1" applyBorder="1" applyAlignment="1" applyProtection="1">
      <alignment horizontal="center" vertical="center"/>
    </xf>
    <xf numFmtId="0" fontId="19" fillId="0" borderId="0" xfId="6" applyFont="1" applyBorder="1" applyAlignment="1" applyProtection="1">
      <alignment horizontal="center" vertical="center"/>
    </xf>
    <xf numFmtId="0" fontId="19" fillId="0" borderId="18" xfId="6" applyFont="1" applyBorder="1" applyAlignment="1" applyProtection="1">
      <alignment horizontal="center" vertical="top" wrapText="1"/>
    </xf>
    <xf numFmtId="0" fontId="19" fillId="0" borderId="11" xfId="6" applyFont="1" applyFill="1" applyBorder="1" applyAlignment="1" applyProtection="1">
      <alignment horizontal="center" vertical="center" wrapText="1"/>
    </xf>
    <xf numFmtId="0" fontId="19" fillId="0" borderId="17" xfId="6" applyFont="1" applyBorder="1" applyAlignment="1" applyProtection="1">
      <alignment horizontal="center" vertical="top" wrapText="1"/>
    </xf>
    <xf numFmtId="0" fontId="19" fillId="0" borderId="35" xfId="6" applyFont="1" applyBorder="1" applyAlignment="1" applyProtection="1">
      <alignment horizontal="center" vertical="top" wrapText="1"/>
    </xf>
    <xf numFmtId="0" fontId="19" fillId="0" borderId="11" xfId="6" applyFont="1" applyBorder="1" applyAlignment="1" applyProtection="1">
      <alignment horizontal="center" vertical="top" wrapText="1"/>
    </xf>
    <xf numFmtId="0" fontId="19" fillId="0" borderId="36" xfId="6" applyFont="1" applyBorder="1" applyAlignment="1" applyProtection="1">
      <alignment horizontal="center" vertical="top" wrapText="1"/>
    </xf>
    <xf numFmtId="0" fontId="19" fillId="0" borderId="0" xfId="13" applyFont="1" applyFill="1" applyBorder="1" applyAlignment="1" applyProtection="1">
      <alignment vertical="center" wrapText="1"/>
    </xf>
    <xf numFmtId="0" fontId="19" fillId="0" borderId="0" xfId="13" applyFont="1" applyFill="1" applyBorder="1" applyAlignment="1" applyProtection="1">
      <alignment horizontal="left" vertical="center" wrapText="1"/>
    </xf>
    <xf numFmtId="0" fontId="19" fillId="0" borderId="0" xfId="13" applyFont="1" applyAlignment="1" applyProtection="1">
      <alignment vertical="center"/>
    </xf>
    <xf numFmtId="0" fontId="39" fillId="0" borderId="0" xfId="2" applyNumberFormat="1" applyFont="1" applyFill="1" applyBorder="1" applyAlignment="1" applyProtection="1">
      <alignment horizontal="center"/>
    </xf>
    <xf numFmtId="0" fontId="19" fillId="0" borderId="0" xfId="13" applyFont="1" applyProtection="1"/>
    <xf numFmtId="0" fontId="19" fillId="0" borderId="0" xfId="6" applyFont="1" applyFill="1" applyProtection="1"/>
    <xf numFmtId="0" fontId="19" fillId="0" borderId="0" xfId="12" applyFont="1" applyProtection="1"/>
    <xf numFmtId="0" fontId="16" fillId="0" borderId="37" xfId="12" applyFont="1" applyBorder="1" applyAlignment="1" applyProtection="1">
      <alignment horizontal="center" vertical="center" wrapText="1"/>
    </xf>
    <xf numFmtId="0" fontId="16" fillId="0" borderId="11" xfId="12" applyFont="1" applyBorder="1" applyAlignment="1" applyProtection="1">
      <alignment horizontal="center"/>
    </xf>
    <xf numFmtId="0" fontId="16" fillId="0" borderId="18" xfId="12" applyFont="1" applyBorder="1" applyAlignment="1" applyProtection="1">
      <alignment horizontal="center"/>
    </xf>
    <xf numFmtId="0" fontId="16" fillId="0" borderId="16" xfId="12" applyFont="1" applyFill="1" applyBorder="1" applyAlignment="1" applyProtection="1">
      <alignment vertical="center"/>
    </xf>
    <xf numFmtId="0" fontId="19" fillId="0" borderId="14" xfId="12" applyFont="1" applyFill="1" applyBorder="1" applyAlignment="1" applyProtection="1">
      <alignment vertical="center" wrapText="1"/>
    </xf>
    <xf numFmtId="0" fontId="19" fillId="0" borderId="24" xfId="12" applyFont="1" applyFill="1" applyBorder="1" applyAlignment="1" applyProtection="1">
      <alignment vertical="center" wrapText="1"/>
    </xf>
    <xf numFmtId="3" fontId="19" fillId="8" borderId="10" xfId="12" applyNumberFormat="1" applyFont="1" applyFill="1" applyBorder="1" applyAlignment="1" applyProtection="1">
      <alignment vertical="center"/>
    </xf>
    <xf numFmtId="0" fontId="19" fillId="0" borderId="10" xfId="12" applyFont="1" applyFill="1" applyBorder="1" applyAlignment="1" applyProtection="1">
      <alignment vertical="center" wrapText="1"/>
    </xf>
    <xf numFmtId="0" fontId="16" fillId="0" borderId="14" xfId="12" applyFont="1" applyFill="1" applyBorder="1" applyAlignment="1" applyProtection="1">
      <alignment vertical="center"/>
    </xf>
    <xf numFmtId="0" fontId="16" fillId="0" borderId="10" xfId="12" applyFont="1" applyBorder="1" applyAlignment="1" applyProtection="1">
      <alignment vertical="center" wrapText="1"/>
    </xf>
    <xf numFmtId="0" fontId="16" fillId="0" borderId="17" xfId="12" applyFont="1" applyBorder="1" applyAlignment="1" applyProtection="1">
      <alignment horizontal="center"/>
    </xf>
    <xf numFmtId="0" fontId="16" fillId="0" borderId="8" xfId="11" applyFont="1" applyBorder="1" applyAlignment="1" applyProtection="1">
      <alignment horizontal="center"/>
    </xf>
    <xf numFmtId="0" fontId="16" fillId="0" borderId="16" xfId="11" applyFont="1" applyBorder="1" applyAlignment="1" applyProtection="1">
      <alignment horizontal="center" wrapText="1"/>
    </xf>
    <xf numFmtId="0" fontId="16" fillId="0" borderId="8" xfId="11" applyFont="1" applyBorder="1" applyAlignment="1" applyProtection="1">
      <alignment horizontal="center" vertical="center" wrapText="1"/>
    </xf>
    <xf numFmtId="0" fontId="16" fillId="0" borderId="17" xfId="11" applyFont="1" applyBorder="1" applyAlignment="1" applyProtection="1">
      <alignment horizontal="center"/>
    </xf>
    <xf numFmtId="0" fontId="16" fillId="0" borderId="18" xfId="11" applyFont="1" applyBorder="1" applyAlignment="1" applyProtection="1">
      <alignment horizontal="center"/>
    </xf>
    <xf numFmtId="0" fontId="16" fillId="0" borderId="38" xfId="11" applyFont="1" applyBorder="1" applyAlignment="1" applyProtection="1">
      <alignment horizontal="center"/>
    </xf>
    <xf numFmtId="0" fontId="19" fillId="0" borderId="10" xfId="11" applyFont="1" applyFill="1" applyBorder="1" applyAlignment="1" applyProtection="1">
      <alignment vertical="center"/>
    </xf>
    <xf numFmtId="0" fontId="19" fillId="0" borderId="10" xfId="11" applyFont="1" applyFill="1" applyBorder="1" applyAlignment="1" applyProtection="1">
      <alignment vertical="center" wrapText="1"/>
    </xf>
    <xf numFmtId="0" fontId="19" fillId="0" borderId="12" xfId="11" applyFont="1" applyFill="1" applyBorder="1" applyAlignment="1" applyProtection="1">
      <alignment vertical="center"/>
    </xf>
    <xf numFmtId="0" fontId="19" fillId="0" borderId="12" xfId="11" applyFont="1" applyFill="1" applyBorder="1" applyAlignment="1" applyProtection="1">
      <alignment vertical="center" wrapText="1"/>
    </xf>
    <xf numFmtId="0" fontId="19" fillId="0" borderId="5" xfId="0" applyFont="1" applyBorder="1" applyProtection="1"/>
    <xf numFmtId="0" fontId="16" fillId="0" borderId="12" xfId="0" applyFont="1" applyFill="1" applyBorder="1" applyAlignment="1" applyProtection="1">
      <alignment vertical="center"/>
    </xf>
    <xf numFmtId="0" fontId="19" fillId="0" borderId="12" xfId="0" applyFont="1" applyBorder="1" applyAlignment="1" applyProtection="1">
      <alignment vertical="center" wrapText="1"/>
    </xf>
    <xf numFmtId="0" fontId="19" fillId="0" borderId="19" xfId="0" applyFont="1" applyFill="1" applyBorder="1" applyAlignment="1" applyProtection="1">
      <alignment vertical="center" wrapText="1"/>
    </xf>
    <xf numFmtId="0" fontId="16" fillId="0" borderId="19" xfId="0" applyFont="1" applyFill="1" applyBorder="1" applyAlignment="1" applyProtection="1">
      <alignment vertical="center" wrapText="1"/>
    </xf>
    <xf numFmtId="0" fontId="31" fillId="0" borderId="0" xfId="0" applyFont="1" applyAlignment="1" applyProtection="1">
      <alignment horizontal="center"/>
    </xf>
    <xf numFmtId="0" fontId="30" fillId="0" borderId="0" xfId="0" applyFont="1" applyProtection="1"/>
    <xf numFmtId="0" fontId="19" fillId="0" borderId="10" xfId="0" applyFont="1" applyBorder="1" applyAlignment="1" applyProtection="1">
      <alignment horizontal="center" vertical="center"/>
    </xf>
    <xf numFmtId="0" fontId="16" fillId="5" borderId="10" xfId="0" applyFont="1" applyFill="1" applyBorder="1" applyAlignment="1" applyProtection="1">
      <alignment vertical="center"/>
    </xf>
    <xf numFmtId="0" fontId="19" fillId="0" borderId="0" xfId="0" applyFont="1" applyFill="1" applyBorder="1" applyAlignment="1" applyProtection="1">
      <alignment horizontal="center" vertical="center"/>
    </xf>
    <xf numFmtId="0" fontId="16" fillId="0" borderId="0" xfId="0" applyFont="1" applyAlignment="1" applyProtection="1">
      <alignment horizontal="center"/>
    </xf>
    <xf numFmtId="0" fontId="19" fillId="0" borderId="10" xfId="0" applyFont="1" applyBorder="1" applyAlignment="1" applyProtection="1">
      <alignment horizontal="center" wrapText="1"/>
    </xf>
    <xf numFmtId="0" fontId="30" fillId="0" borderId="0" xfId="0" applyFont="1" applyFill="1" applyBorder="1" applyAlignment="1" applyProtection="1">
      <alignment vertical="center"/>
    </xf>
    <xf numFmtId="0" fontId="19" fillId="0" borderId="10" xfId="0" applyFont="1" applyBorder="1" applyAlignment="1" applyProtection="1">
      <alignment horizontal="justify" vertical="center"/>
    </xf>
    <xf numFmtId="0" fontId="16" fillId="0" borderId="13" xfId="0" applyFont="1" applyFill="1" applyBorder="1" applyAlignment="1" applyProtection="1">
      <alignment vertical="center"/>
    </xf>
    <xf numFmtId="0" fontId="16" fillId="0" borderId="18" xfId="0" applyFont="1" applyBorder="1" applyAlignment="1" applyProtection="1">
      <alignment wrapText="1"/>
    </xf>
    <xf numFmtId="0" fontId="30" fillId="0" borderId="10" xfId="0" applyFont="1" applyBorder="1" applyAlignment="1" applyProtection="1">
      <alignment horizontal="left" vertical="center" wrapText="1"/>
    </xf>
    <xf numFmtId="0" fontId="19" fillId="0" borderId="9" xfId="0" applyFont="1" applyBorder="1" applyProtection="1"/>
    <xf numFmtId="0" fontId="16" fillId="0" borderId="24" xfId="12" applyFont="1" applyBorder="1" applyAlignment="1" applyProtection="1">
      <alignment horizontal="center" vertical="center" wrapText="1"/>
    </xf>
    <xf numFmtId="0" fontId="16" fillId="0" borderId="16" xfId="11" applyFont="1" applyBorder="1" applyAlignment="1" applyProtection="1">
      <alignment horizontal="center" vertical="center" wrapText="1"/>
    </xf>
    <xf numFmtId="0" fontId="19" fillId="0" borderId="0" xfId="0" applyFont="1" applyBorder="1" applyAlignment="1" applyProtection="1">
      <alignment horizontal="left"/>
    </xf>
    <xf numFmtId="0" fontId="31" fillId="0" borderId="0" xfId="6" applyFont="1" applyBorder="1" applyAlignment="1" applyProtection="1"/>
    <xf numFmtId="0" fontId="16" fillId="0" borderId="0" xfId="6" applyFont="1" applyAlignment="1" applyProtection="1">
      <alignment horizontal="center"/>
    </xf>
    <xf numFmtId="0" fontId="19" fillId="0" borderId="0" xfId="6" applyFont="1" applyBorder="1" applyAlignment="1" applyProtection="1">
      <alignment horizontal="center"/>
    </xf>
    <xf numFmtId="0" fontId="30" fillId="0" borderId="0" xfId="6" applyFont="1" applyAlignment="1" applyProtection="1">
      <alignment horizontal="left"/>
    </xf>
    <xf numFmtId="3" fontId="19" fillId="0" borderId="13" xfId="6" applyNumberFormat="1" applyFont="1" applyBorder="1" applyAlignment="1" applyProtection="1">
      <alignment horizontal="right" vertical="center"/>
    </xf>
    <xf numFmtId="3" fontId="19" fillId="0" borderId="11" xfId="6" applyNumberFormat="1" applyFont="1" applyBorder="1" applyAlignment="1" applyProtection="1">
      <alignment horizontal="right" vertical="center"/>
    </xf>
    <xf numFmtId="3" fontId="19" fillId="0" borderId="0" xfId="6" applyNumberFormat="1" applyFont="1" applyFill="1" applyBorder="1" applyAlignment="1" applyProtection="1">
      <alignment horizontal="right" vertical="center"/>
    </xf>
    <xf numFmtId="3" fontId="19" fillId="0" borderId="19" xfId="6" applyNumberFormat="1" applyFont="1" applyBorder="1" applyAlignment="1" applyProtection="1">
      <alignment horizontal="right" vertical="center"/>
    </xf>
    <xf numFmtId="3" fontId="19" fillId="0" borderId="0" xfId="6" applyNumberFormat="1" applyFont="1" applyBorder="1" applyAlignment="1" applyProtection="1">
      <alignment horizontal="right" vertical="center"/>
    </xf>
    <xf numFmtId="0" fontId="19" fillId="0" borderId="10" xfId="0" applyFont="1" applyBorder="1" applyProtection="1"/>
    <xf numFmtId="0" fontId="19" fillId="0" borderId="0" xfId="13" applyFont="1" applyFill="1" applyAlignment="1" applyProtection="1">
      <alignment horizontal="center"/>
      <protection hidden="1"/>
    </xf>
    <xf numFmtId="0" fontId="19" fillId="0" borderId="0" xfId="13" applyFont="1" applyFill="1" applyAlignment="1" applyProtection="1">
      <alignment horizontal="center"/>
    </xf>
    <xf numFmtId="0" fontId="16" fillId="5" borderId="39" xfId="13" applyFont="1" applyFill="1" applyBorder="1" applyAlignment="1" applyProtection="1">
      <alignment horizontal="center" vertical="center" wrapText="1"/>
    </xf>
    <xf numFmtId="0" fontId="16" fillId="5" borderId="40" xfId="13" applyFont="1" applyFill="1" applyBorder="1" applyAlignment="1" applyProtection="1">
      <alignment horizontal="center" vertical="center" wrapText="1"/>
    </xf>
    <xf numFmtId="0" fontId="16" fillId="5" borderId="41" xfId="13" applyFont="1" applyFill="1" applyBorder="1" applyAlignment="1" applyProtection="1">
      <alignment horizontal="center" vertical="center" wrapText="1"/>
    </xf>
    <xf numFmtId="0" fontId="16" fillId="5" borderId="42" xfId="13" applyFont="1" applyFill="1" applyBorder="1" applyAlignment="1" applyProtection="1">
      <alignment horizontal="center" vertical="center" wrapText="1"/>
    </xf>
    <xf numFmtId="0" fontId="19" fillId="9" borderId="0" xfId="13" applyFont="1" applyFill="1" applyAlignment="1" applyProtection="1">
      <alignment horizontal="center"/>
      <protection hidden="1"/>
    </xf>
    <xf numFmtId="0" fontId="19" fillId="9" borderId="0" xfId="13" applyFont="1" applyFill="1" applyBorder="1" applyAlignment="1" applyProtection="1">
      <alignment horizontal="center"/>
      <protection hidden="1"/>
    </xf>
    <xf numFmtId="0" fontId="38" fillId="0" borderId="38" xfId="1" applyFont="1" applyBorder="1" applyAlignment="1" applyProtection="1"/>
    <xf numFmtId="0" fontId="19" fillId="0" borderId="43" xfId="6" applyFont="1" applyBorder="1" applyProtection="1"/>
    <xf numFmtId="0" fontId="19" fillId="9" borderId="0" xfId="13" applyFont="1" applyFill="1" applyAlignment="1" applyProtection="1">
      <alignment horizontal="center"/>
    </xf>
    <xf numFmtId="0" fontId="19" fillId="0" borderId="0" xfId="13" applyFont="1" applyFill="1" applyProtection="1">
      <protection hidden="1"/>
    </xf>
    <xf numFmtId="0" fontId="19" fillId="10" borderId="44" xfId="13" applyFont="1" applyFill="1" applyBorder="1" applyAlignment="1" applyProtection="1">
      <alignment vertical="center" wrapText="1"/>
    </xf>
    <xf numFmtId="0" fontId="19" fillId="10" borderId="22" xfId="13" applyFont="1" applyFill="1" applyBorder="1" applyAlignment="1" applyProtection="1">
      <alignment vertical="center" wrapText="1"/>
    </xf>
    <xf numFmtId="0" fontId="19" fillId="0" borderId="22" xfId="13" applyFont="1" applyFill="1" applyBorder="1" applyAlignment="1" applyProtection="1">
      <alignment vertical="center" wrapText="1"/>
    </xf>
    <xf numFmtId="0" fontId="19" fillId="10" borderId="45" xfId="13" applyFont="1" applyFill="1" applyBorder="1" applyAlignment="1" applyProtection="1">
      <alignment vertical="center" wrapText="1"/>
    </xf>
    <xf numFmtId="0" fontId="19" fillId="10" borderId="46" xfId="13" applyFont="1" applyFill="1" applyBorder="1" applyAlignment="1" applyProtection="1">
      <alignment vertical="center" wrapText="1"/>
    </xf>
    <xf numFmtId="49" fontId="30" fillId="0" borderId="0" xfId="13" applyNumberFormat="1" applyFont="1" applyProtection="1"/>
    <xf numFmtId="0" fontId="16" fillId="0" borderId="23" xfId="13" applyFont="1" applyFill="1" applyBorder="1" applyAlignment="1" applyProtection="1">
      <alignment horizontal="center" vertical="center" wrapText="1"/>
    </xf>
    <xf numFmtId="0" fontId="16" fillId="0" borderId="47" xfId="13" applyFont="1" applyFill="1" applyBorder="1" applyAlignment="1" applyProtection="1">
      <alignment horizontal="center" vertical="center" wrapText="1"/>
    </xf>
    <xf numFmtId="0" fontId="16" fillId="0" borderId="48" xfId="13" applyFont="1" applyFill="1" applyBorder="1" applyAlignment="1" applyProtection="1">
      <alignment horizontal="center" vertical="center" wrapText="1"/>
    </xf>
    <xf numFmtId="0" fontId="16" fillId="0" borderId="49" xfId="13" applyFont="1" applyBorder="1" applyAlignment="1" applyProtection="1">
      <alignment horizontal="center" vertical="center"/>
    </xf>
    <xf numFmtId="0" fontId="19" fillId="0" borderId="0" xfId="13" applyFont="1" applyFill="1" applyProtection="1"/>
    <xf numFmtId="0" fontId="16" fillId="0" borderId="40" xfId="13" applyFont="1" applyFill="1" applyBorder="1" applyAlignment="1" applyProtection="1">
      <alignment horizontal="center" vertical="center" wrapText="1"/>
    </xf>
    <xf numFmtId="0" fontId="16" fillId="0" borderId="50" xfId="13" applyFont="1" applyFill="1" applyBorder="1" applyAlignment="1" applyProtection="1">
      <alignment horizontal="center" vertical="center" wrapText="1"/>
    </xf>
    <xf numFmtId="0" fontId="19" fillId="9" borderId="2" xfId="13" applyFont="1" applyFill="1" applyBorder="1" applyAlignment="1" applyProtection="1">
      <alignment horizontal="center"/>
      <protection hidden="1"/>
    </xf>
    <xf numFmtId="0" fontId="19" fillId="0" borderId="24" xfId="6" applyFont="1" applyBorder="1" applyProtection="1"/>
    <xf numFmtId="0" fontId="19" fillId="10" borderId="32" xfId="13" applyFont="1" applyFill="1" applyBorder="1" applyAlignment="1" applyProtection="1">
      <alignment vertical="center" wrapText="1"/>
    </xf>
    <xf numFmtId="49" fontId="30" fillId="0" borderId="0" xfId="13" applyNumberFormat="1" applyFont="1" applyFill="1" applyProtection="1"/>
    <xf numFmtId="0" fontId="19" fillId="11" borderId="0" xfId="13" applyFont="1" applyFill="1" applyAlignment="1" applyProtection="1">
      <alignment horizontal="center"/>
    </xf>
    <xf numFmtId="0" fontId="16" fillId="0" borderId="51" xfId="13" applyFont="1" applyFill="1" applyBorder="1" applyAlignment="1" applyProtection="1">
      <alignment horizontal="center" vertical="center" wrapText="1"/>
    </xf>
    <xf numFmtId="0" fontId="16" fillId="0" borderId="52" xfId="13" applyFont="1" applyFill="1" applyBorder="1" applyAlignment="1" applyProtection="1">
      <alignment horizontal="center" vertical="center" wrapText="1"/>
    </xf>
    <xf numFmtId="0" fontId="16" fillId="12" borderId="53" xfId="13" applyFont="1" applyFill="1" applyBorder="1" applyAlignment="1" applyProtection="1">
      <alignment horizontal="center" vertical="center"/>
    </xf>
    <xf numFmtId="0" fontId="19" fillId="12" borderId="0" xfId="13" applyFont="1" applyFill="1" applyProtection="1"/>
    <xf numFmtId="0" fontId="16" fillId="0" borderId="41" xfId="13" applyFont="1" applyFill="1" applyBorder="1" applyAlignment="1" applyProtection="1">
      <alignment horizontal="center" vertical="center" wrapText="1"/>
    </xf>
    <xf numFmtId="0" fontId="19" fillId="10" borderId="54" xfId="13" applyFont="1" applyFill="1" applyBorder="1" applyAlignment="1" applyProtection="1">
      <alignment vertical="center" wrapText="1"/>
    </xf>
    <xf numFmtId="0" fontId="19" fillId="0" borderId="45" xfId="13" applyFont="1" applyFill="1" applyBorder="1" applyAlignment="1" applyProtection="1">
      <alignment vertical="center" wrapText="1"/>
    </xf>
    <xf numFmtId="0" fontId="47" fillId="0" borderId="0" xfId="13" applyFont="1" applyProtection="1"/>
    <xf numFmtId="0" fontId="31" fillId="0" borderId="0" xfId="0" applyFont="1" applyBorder="1" applyAlignment="1" applyProtection="1">
      <alignment horizontal="left" wrapText="1"/>
    </xf>
    <xf numFmtId="0" fontId="30" fillId="0" borderId="0" xfId="0" applyFont="1" applyBorder="1" applyAlignment="1" applyProtection="1">
      <alignment vertical="center"/>
    </xf>
    <xf numFmtId="0" fontId="19" fillId="0" borderId="0" xfId="0" applyFont="1" applyAlignment="1" applyProtection="1">
      <alignment wrapText="1"/>
    </xf>
    <xf numFmtId="0" fontId="32" fillId="0" borderId="0" xfId="2" applyNumberFormat="1" applyFont="1" applyFill="1" applyBorder="1" applyAlignment="1" applyProtection="1">
      <alignment horizontal="center"/>
    </xf>
    <xf numFmtId="0" fontId="19" fillId="0" borderId="0" xfId="0" applyFont="1" applyBorder="1" applyAlignment="1" applyProtection="1"/>
    <xf numFmtId="0" fontId="16" fillId="0" borderId="17" xfId="0" applyFont="1" applyBorder="1" applyAlignment="1" applyProtection="1">
      <alignment horizontal="center" vertical="center" wrapText="1"/>
    </xf>
    <xf numFmtId="0" fontId="16" fillId="0" borderId="10" xfId="0" applyFont="1" applyBorder="1" applyAlignment="1" applyProtection="1">
      <alignment horizontal="center"/>
    </xf>
    <xf numFmtId="0" fontId="19" fillId="0" borderId="0" xfId="11" applyFont="1" applyAlignment="1" applyProtection="1">
      <alignment vertical="center"/>
    </xf>
    <xf numFmtId="0" fontId="16" fillId="0" borderId="0" xfId="11" applyFont="1" applyAlignment="1" applyProtection="1">
      <alignment vertical="center"/>
    </xf>
    <xf numFmtId="0" fontId="19" fillId="0" borderId="24" xfId="11" applyFont="1" applyFill="1" applyBorder="1" applyAlignment="1" applyProtection="1">
      <alignment horizontal="center" vertical="center"/>
    </xf>
    <xf numFmtId="0" fontId="19" fillId="0" borderId="24" xfId="11" applyFont="1" applyFill="1" applyBorder="1" applyAlignment="1" applyProtection="1">
      <alignment vertical="center" wrapText="1"/>
    </xf>
    <xf numFmtId="0" fontId="19" fillId="0" borderId="0" xfId="11" applyFont="1" applyFill="1" applyBorder="1" applyAlignment="1" applyProtection="1">
      <alignment vertical="center"/>
    </xf>
    <xf numFmtId="0" fontId="19" fillId="0" borderId="24" xfId="11" applyFont="1" applyFill="1" applyBorder="1" applyAlignment="1" applyProtection="1">
      <alignment vertical="center"/>
    </xf>
    <xf numFmtId="0" fontId="19" fillId="0" borderId="38" xfId="11" applyFont="1" applyFill="1" applyBorder="1" applyAlignment="1" applyProtection="1">
      <alignment vertical="center"/>
    </xf>
    <xf numFmtId="0" fontId="19" fillId="0" borderId="10" xfId="13" applyFont="1" applyFill="1" applyBorder="1" applyAlignment="1" applyProtection="1">
      <alignment vertical="center" wrapText="1"/>
    </xf>
    <xf numFmtId="0" fontId="19" fillId="0" borderId="0" xfId="13" quotePrefix="1" applyFont="1" applyProtection="1"/>
    <xf numFmtId="0" fontId="31" fillId="0" borderId="0" xfId="6" applyFont="1" applyAlignment="1" applyProtection="1">
      <alignment horizontal="center"/>
    </xf>
    <xf numFmtId="0" fontId="31" fillId="0" borderId="0" xfId="6" applyFont="1" applyProtection="1"/>
    <xf numFmtId="0" fontId="31" fillId="0" borderId="0" xfId="6" applyFont="1" applyBorder="1" applyAlignment="1" applyProtection="1">
      <alignment horizontal="center"/>
    </xf>
    <xf numFmtId="0" fontId="16" fillId="0" borderId="0" xfId="6" applyFont="1" applyBorder="1" applyAlignment="1" applyProtection="1">
      <alignment horizontal="center"/>
    </xf>
    <xf numFmtId="0" fontId="19" fillId="0" borderId="8" xfId="6" applyFont="1" applyBorder="1" applyAlignment="1" applyProtection="1">
      <alignment vertical="center"/>
    </xf>
    <xf numFmtId="0" fontId="16" fillId="0" borderId="10" xfId="21" applyFont="1" applyFill="1" applyBorder="1" applyAlignment="1" applyProtection="1">
      <alignment horizontal="center" vertical="center" wrapText="1"/>
    </xf>
    <xf numFmtId="0" fontId="16" fillId="0" borderId="12" xfId="0" applyFont="1" applyBorder="1" applyAlignment="1" applyProtection="1">
      <alignment horizontal="center" vertical="center" wrapText="1"/>
    </xf>
    <xf numFmtId="0" fontId="19" fillId="0" borderId="10" xfId="0" applyFont="1" applyBorder="1" applyAlignment="1" applyProtection="1">
      <alignment horizontal="center" vertical="center" wrapText="1"/>
    </xf>
    <xf numFmtId="0" fontId="19" fillId="0" borderId="10" xfId="0" applyFont="1" applyBorder="1" applyAlignment="1" applyProtection="1">
      <alignment horizontal="left" vertical="center" wrapText="1"/>
    </xf>
    <xf numFmtId="3" fontId="19" fillId="13" borderId="14" xfId="13" applyNumberFormat="1" applyFont="1" applyFill="1" applyBorder="1" applyAlignment="1" applyProtection="1">
      <alignment vertical="center"/>
    </xf>
    <xf numFmtId="169" fontId="19" fillId="13" borderId="14" xfId="13" applyNumberFormat="1" applyFont="1" applyFill="1" applyBorder="1" applyAlignment="1" applyProtection="1">
      <alignment vertical="center"/>
    </xf>
    <xf numFmtId="3" fontId="19" fillId="14" borderId="32" xfId="13" applyNumberFormat="1" applyFont="1" applyFill="1" applyBorder="1" applyAlignment="1" applyProtection="1">
      <alignment vertical="center"/>
    </xf>
    <xf numFmtId="169" fontId="19" fillId="14" borderId="14" xfId="13" applyNumberFormat="1" applyFont="1" applyFill="1" applyBorder="1" applyAlignment="1" applyProtection="1">
      <alignment vertical="center"/>
    </xf>
    <xf numFmtId="0" fontId="45" fillId="0" borderId="0" xfId="0" applyFont="1" applyFill="1" applyProtection="1"/>
    <xf numFmtId="0" fontId="16" fillId="0" borderId="16" xfId="0" applyFont="1" applyBorder="1" applyAlignment="1" applyProtection="1">
      <alignment horizontal="left" wrapText="1"/>
    </xf>
    <xf numFmtId="0" fontId="19" fillId="0" borderId="18" xfId="0" applyFont="1" applyBorder="1" applyAlignment="1" applyProtection="1">
      <alignment horizontal="center" vertical="center" wrapText="1"/>
    </xf>
    <xf numFmtId="3" fontId="16" fillId="0" borderId="10" xfId="0" applyNumberFormat="1" applyFont="1" applyBorder="1" applyAlignment="1" applyProtection="1">
      <alignment vertical="center"/>
    </xf>
    <xf numFmtId="0" fontId="16" fillId="0" borderId="10" xfId="0" applyFont="1" applyBorder="1" applyAlignment="1" applyProtection="1">
      <alignment vertical="center"/>
    </xf>
    <xf numFmtId="0" fontId="19" fillId="0" borderId="17" xfId="6" applyFont="1" applyBorder="1" applyAlignment="1" applyProtection="1">
      <alignment vertical="center"/>
    </xf>
    <xf numFmtId="3" fontId="19" fillId="0" borderId="12" xfId="6" applyNumberFormat="1" applyFont="1" applyBorder="1" applyAlignment="1" applyProtection="1">
      <alignment horizontal="left" vertical="center"/>
    </xf>
    <xf numFmtId="3" fontId="19" fillId="0" borderId="12" xfId="6" applyNumberFormat="1" applyFont="1" applyBorder="1" applyAlignment="1" applyProtection="1">
      <alignment vertical="center"/>
    </xf>
    <xf numFmtId="3" fontId="19" fillId="0" borderId="17" xfId="6" applyNumberFormat="1" applyFont="1" applyBorder="1" applyAlignment="1" applyProtection="1">
      <alignment vertical="center"/>
    </xf>
    <xf numFmtId="3" fontId="19" fillId="0" borderId="12" xfId="6" applyNumberFormat="1" applyFont="1" applyBorder="1" applyAlignment="1" applyProtection="1">
      <alignment vertical="center" wrapText="1"/>
    </xf>
    <xf numFmtId="3" fontId="19" fillId="0" borderId="17" xfId="6" applyNumberFormat="1" applyFont="1" applyBorder="1" applyAlignment="1" applyProtection="1">
      <alignment vertical="center" wrapText="1"/>
    </xf>
    <xf numFmtId="0" fontId="19" fillId="0" borderId="12" xfId="6" applyFont="1" applyBorder="1" applyAlignment="1" applyProtection="1">
      <alignment vertical="center"/>
    </xf>
    <xf numFmtId="0" fontId="19" fillId="0" borderId="55" xfId="6" applyFont="1" applyBorder="1" applyAlignment="1" applyProtection="1">
      <alignment vertical="center"/>
    </xf>
    <xf numFmtId="0" fontId="19" fillId="0" borderId="17" xfId="6" applyFont="1" applyBorder="1" applyAlignment="1" applyProtection="1">
      <alignment vertical="center" wrapText="1"/>
    </xf>
    <xf numFmtId="0" fontId="19" fillId="0" borderId="12" xfId="6" applyFont="1" applyBorder="1" applyAlignment="1" applyProtection="1">
      <alignment horizontal="left" vertical="center"/>
    </xf>
    <xf numFmtId="0" fontId="19" fillId="0" borderId="10" xfId="6" applyFont="1" applyBorder="1" applyAlignment="1" applyProtection="1">
      <alignment vertical="center"/>
    </xf>
    <xf numFmtId="0" fontId="19" fillId="0" borderId="0" xfId="13" applyFont="1" applyFill="1" applyBorder="1" applyAlignment="1" applyProtection="1">
      <alignment horizontal="center" vertical="center" wrapText="1"/>
    </xf>
    <xf numFmtId="0" fontId="30" fillId="0" borderId="0" xfId="13" applyFont="1" applyProtection="1"/>
    <xf numFmtId="0" fontId="19" fillId="0" borderId="17" xfId="6" applyFont="1" applyBorder="1" applyAlignment="1" applyProtection="1">
      <alignment horizontal="center" vertical="center"/>
    </xf>
    <xf numFmtId="0" fontId="52" fillId="0" borderId="0" xfId="2" applyNumberFormat="1" applyFont="1" applyFill="1" applyBorder="1" applyAlignment="1" applyProtection="1">
      <alignment horizontal="center"/>
    </xf>
    <xf numFmtId="0" fontId="23" fillId="0" borderId="20" xfId="0" applyFont="1" applyFill="1" applyBorder="1" applyAlignment="1" applyProtection="1">
      <alignment horizontal="center"/>
    </xf>
    <xf numFmtId="0" fontId="53" fillId="0" borderId="0" xfId="0" applyFont="1" applyAlignment="1" applyProtection="1">
      <alignment horizontal="center"/>
    </xf>
    <xf numFmtId="0" fontId="0" fillId="0" borderId="0" xfId="0" applyFill="1" applyAlignment="1" applyProtection="1">
      <alignment wrapText="1"/>
    </xf>
    <xf numFmtId="0" fontId="16" fillId="0" borderId="0" xfId="0" applyFont="1" applyBorder="1" applyAlignment="1" applyProtection="1"/>
    <xf numFmtId="0" fontId="19" fillId="0" borderId="0" xfId="0" applyFont="1" applyBorder="1" applyAlignment="1" applyProtection="1">
      <alignment horizontal="center"/>
    </xf>
    <xf numFmtId="0" fontId="16" fillId="0" borderId="0" xfId="1" applyFont="1" applyAlignment="1" applyProtection="1">
      <alignment vertical="center"/>
    </xf>
    <xf numFmtId="0" fontId="19" fillId="0" borderId="11" xfId="0" applyFont="1" applyFill="1" applyBorder="1" applyAlignment="1" applyProtection="1">
      <alignment horizontal="center" vertical="center"/>
    </xf>
    <xf numFmtId="49" fontId="16" fillId="0" borderId="0" xfId="0" applyNumberFormat="1" applyFont="1" applyBorder="1" applyAlignment="1" applyProtection="1">
      <alignment horizontal="center" vertical="center"/>
    </xf>
    <xf numFmtId="0" fontId="16" fillId="0" borderId="56" xfId="0" applyFont="1" applyFill="1" applyBorder="1" applyAlignment="1" applyProtection="1">
      <alignment horizontal="center" vertical="center"/>
    </xf>
    <xf numFmtId="0" fontId="0" fillId="0" borderId="0" xfId="0" quotePrefix="1" applyFill="1" applyProtection="1"/>
    <xf numFmtId="0" fontId="16" fillId="0" borderId="24" xfId="6" applyFont="1" applyBorder="1" applyAlignment="1" applyProtection="1">
      <alignment horizontal="center" vertical="center"/>
    </xf>
    <xf numFmtId="0" fontId="19" fillId="0" borderId="0" xfId="0" applyFont="1" applyBorder="1" applyAlignment="1" applyProtection="1">
      <alignment horizontal="center" wrapText="1"/>
    </xf>
    <xf numFmtId="0" fontId="16" fillId="0" borderId="55" xfId="0" applyFont="1" applyBorder="1" applyProtection="1"/>
    <xf numFmtId="0" fontId="16" fillId="0" borderId="12" xfId="0" applyFont="1" applyBorder="1" applyProtection="1"/>
    <xf numFmtId="0" fontId="16" fillId="0" borderId="10" xfId="0" applyFont="1" applyBorder="1" applyProtection="1"/>
    <xf numFmtId="0" fontId="19" fillId="0" borderId="11" xfId="0" applyFont="1" applyBorder="1" applyAlignment="1" applyProtection="1"/>
    <xf numFmtId="0" fontId="19" fillId="0" borderId="24" xfId="6" applyFont="1" applyBorder="1" applyAlignment="1" applyProtection="1">
      <alignment horizontal="center" vertical="top" wrapText="1"/>
    </xf>
    <xf numFmtId="0" fontId="54" fillId="0" borderId="0" xfId="6" applyFont="1" applyBorder="1" applyProtection="1"/>
    <xf numFmtId="0" fontId="16" fillId="0" borderId="0" xfId="6" applyFont="1" applyBorder="1" applyProtection="1"/>
    <xf numFmtId="0" fontId="31" fillId="0" borderId="0" xfId="6" applyFont="1" applyBorder="1" applyAlignment="1" applyProtection="1">
      <alignment wrapText="1"/>
    </xf>
    <xf numFmtId="3" fontId="16" fillId="0" borderId="0" xfId="6" applyNumberFormat="1" applyFont="1" applyBorder="1" applyAlignment="1" applyProtection="1">
      <alignment horizontal="right" vertical="center"/>
    </xf>
    <xf numFmtId="3" fontId="16" fillId="0" borderId="13" xfId="6" applyNumberFormat="1" applyFont="1" applyBorder="1" applyAlignment="1" applyProtection="1">
      <alignment horizontal="right" vertical="center"/>
    </xf>
    <xf numFmtId="3" fontId="19" fillId="0" borderId="0" xfId="6" applyNumberFormat="1" applyFont="1" applyAlignment="1" applyProtection="1">
      <alignment horizontal="right" vertical="center"/>
    </xf>
    <xf numFmtId="3" fontId="16" fillId="0" borderId="0" xfId="6" applyNumberFormat="1" applyFont="1" applyAlignment="1" applyProtection="1">
      <alignment horizontal="right" vertical="center"/>
    </xf>
    <xf numFmtId="3" fontId="16" fillId="0" borderId="19" xfId="6" applyNumberFormat="1" applyFont="1" applyBorder="1" applyAlignment="1" applyProtection="1">
      <alignment horizontal="right" vertical="center"/>
    </xf>
    <xf numFmtId="3" fontId="16" fillId="0" borderId="11" xfId="6" applyNumberFormat="1" applyFont="1" applyBorder="1" applyAlignment="1" applyProtection="1">
      <alignment horizontal="right" vertical="center"/>
    </xf>
    <xf numFmtId="0" fontId="30" fillId="0" borderId="0" xfId="0" applyFont="1" applyBorder="1" applyAlignment="1" applyProtection="1">
      <alignment horizontal="justify" wrapText="1"/>
    </xf>
    <xf numFmtId="0" fontId="19" fillId="0" borderId="21" xfId="6" applyFont="1" applyBorder="1" applyAlignment="1" applyProtection="1">
      <alignment horizontal="center" vertical="center"/>
    </xf>
    <xf numFmtId="0" fontId="16" fillId="0" borderId="55" xfId="0" applyFont="1" applyFill="1" applyBorder="1" applyAlignment="1" applyProtection="1">
      <alignment horizontal="center" vertical="center" wrapText="1"/>
    </xf>
    <xf numFmtId="0" fontId="34" fillId="0" borderId="0" xfId="0" applyFont="1" applyProtection="1"/>
    <xf numFmtId="0" fontId="34" fillId="0" borderId="0" xfId="0" applyFont="1" applyBorder="1" applyProtection="1"/>
    <xf numFmtId="0" fontId="34" fillId="0" borderId="0" xfId="0" applyFont="1" applyBorder="1" applyAlignment="1" applyProtection="1">
      <alignment horizontal="center"/>
    </xf>
    <xf numFmtId="0" fontId="56" fillId="0" borderId="0" xfId="0" applyFont="1" applyFill="1" applyProtection="1"/>
    <xf numFmtId="0" fontId="34" fillId="0" borderId="11" xfId="0" applyFont="1" applyBorder="1" applyProtection="1"/>
    <xf numFmtId="0" fontId="34" fillId="0" borderId="0" xfId="0" applyFont="1" applyFill="1" applyProtection="1"/>
    <xf numFmtId="3" fontId="34" fillId="0" borderId="0" xfId="0" applyNumberFormat="1" applyFont="1" applyBorder="1" applyAlignment="1" applyProtection="1">
      <alignment vertical="center"/>
    </xf>
    <xf numFmtId="0" fontId="34" fillId="0" borderId="10" xfId="0" applyFont="1" applyBorder="1" applyProtection="1"/>
    <xf numFmtId="0" fontId="34" fillId="0" borderId="0" xfId="0" applyFont="1" applyFill="1" applyAlignment="1" applyProtection="1">
      <alignment wrapText="1"/>
    </xf>
    <xf numFmtId="0" fontId="12" fillId="0" borderId="0" xfId="1" applyFont="1" applyAlignment="1" applyProtection="1"/>
    <xf numFmtId="0" fontId="34" fillId="0" borderId="13" xfId="0" applyFont="1" applyBorder="1" applyAlignment="1" applyProtection="1">
      <alignment horizontal="center" wrapText="1"/>
    </xf>
    <xf numFmtId="0" fontId="34" fillId="0" borderId="0" xfId="11" applyFont="1" applyAlignment="1" applyProtection="1">
      <alignment horizontal="center"/>
    </xf>
    <xf numFmtId="0" fontId="34" fillId="0" borderId="0" xfId="11" applyFont="1" applyBorder="1" applyAlignment="1" applyProtection="1">
      <alignment horizontal="center"/>
    </xf>
    <xf numFmtId="0" fontId="58" fillId="0" borderId="0" xfId="11" applyFont="1" applyBorder="1" applyAlignment="1" applyProtection="1"/>
    <xf numFmtId="0" fontId="58" fillId="0" borderId="0" xfId="11" applyFont="1" applyBorder="1" applyAlignment="1" applyProtection="1">
      <alignment horizontal="left"/>
    </xf>
    <xf numFmtId="0" fontId="58" fillId="0" borderId="0" xfId="11" applyFont="1" applyBorder="1" applyProtection="1"/>
    <xf numFmtId="0" fontId="8" fillId="0" borderId="0" xfId="1" applyFont="1" applyAlignment="1" applyProtection="1">
      <alignment horizontal="left"/>
    </xf>
    <xf numFmtId="0" fontId="8" fillId="0" borderId="0" xfId="1" quotePrefix="1" applyFont="1" applyAlignment="1" applyProtection="1">
      <alignment horizontal="left"/>
    </xf>
    <xf numFmtId="4" fontId="34" fillId="4" borderId="42" xfId="0" applyNumberFormat="1" applyFont="1" applyFill="1" applyBorder="1" applyAlignment="1" applyProtection="1">
      <alignment horizontal="center" vertical="center"/>
    </xf>
    <xf numFmtId="1" fontId="34" fillId="4" borderId="57" xfId="0" quotePrefix="1" applyNumberFormat="1" applyFont="1" applyFill="1" applyBorder="1" applyAlignment="1" applyProtection="1">
      <alignment horizontal="center" vertical="center"/>
    </xf>
    <xf numFmtId="2" fontId="34" fillId="4" borderId="58" xfId="0" applyNumberFormat="1" applyFont="1" applyFill="1" applyBorder="1" applyAlignment="1" applyProtection="1">
      <alignment horizontal="center" vertical="center"/>
    </xf>
    <xf numFmtId="2" fontId="34" fillId="4" borderId="42" xfId="0" applyNumberFormat="1" applyFont="1" applyFill="1" applyBorder="1" applyAlignment="1" applyProtection="1">
      <alignment horizontal="center" vertical="center"/>
    </xf>
    <xf numFmtId="0" fontId="16" fillId="0" borderId="24" xfId="1" applyFont="1" applyBorder="1" applyAlignment="1" applyProtection="1"/>
    <xf numFmtId="0" fontId="34" fillId="0" borderId="10" xfId="0" applyFont="1" applyBorder="1" applyAlignment="1" applyProtection="1">
      <alignment horizontal="center" vertical="center"/>
    </xf>
    <xf numFmtId="49" fontId="34" fillId="0" borderId="10" xfId="0" applyNumberFormat="1" applyFont="1" applyBorder="1" applyAlignment="1" applyProtection="1">
      <alignment horizontal="left" vertical="center" wrapText="1" readingOrder="2"/>
    </xf>
    <xf numFmtId="0" fontId="34" fillId="0" borderId="10" xfId="0" applyFont="1" applyBorder="1" applyAlignment="1" applyProtection="1">
      <alignment horizontal="left" vertical="center"/>
    </xf>
    <xf numFmtId="0" fontId="19" fillId="0" borderId="24" xfId="13" applyFont="1" applyBorder="1" applyAlignment="1" applyProtection="1">
      <alignment horizontal="center" vertical="center" wrapText="1"/>
    </xf>
    <xf numFmtId="0" fontId="19" fillId="0" borderId="0" xfId="13" applyFont="1" applyBorder="1" applyProtection="1"/>
    <xf numFmtId="0" fontId="19" fillId="0" borderId="10" xfId="13" applyFont="1" applyBorder="1" applyAlignment="1" applyProtection="1">
      <alignment horizontal="center" vertical="center" wrapText="1"/>
    </xf>
    <xf numFmtId="0" fontId="19" fillId="0" borderId="12" xfId="13" applyFont="1" applyBorder="1" applyAlignment="1" applyProtection="1">
      <alignment horizontal="center" vertical="center"/>
    </xf>
    <xf numFmtId="0" fontId="19" fillId="0" borderId="10" xfId="13" applyFont="1" applyBorder="1" applyAlignment="1" applyProtection="1">
      <alignment vertical="center" wrapText="1"/>
    </xf>
    <xf numFmtId="0" fontId="19" fillId="0" borderId="10" xfId="13" applyFont="1" applyBorder="1" applyAlignment="1" applyProtection="1">
      <alignment vertical="center"/>
    </xf>
    <xf numFmtId="3" fontId="19" fillId="15" borderId="10" xfId="13" applyNumberFormat="1" applyFont="1" applyFill="1" applyBorder="1" applyProtection="1"/>
    <xf numFmtId="0" fontId="19" fillId="0" borderId="59" xfId="13" applyFont="1" applyFill="1" applyBorder="1" applyAlignment="1" applyProtection="1">
      <alignment vertical="center"/>
    </xf>
    <xf numFmtId="0" fontId="41" fillId="0" borderId="0" xfId="6" applyFont="1" applyBorder="1" applyAlignment="1" applyProtection="1">
      <alignment horizontal="center" wrapText="1"/>
    </xf>
    <xf numFmtId="0" fontId="8" fillId="16" borderId="10" xfId="0" applyFont="1" applyFill="1" applyBorder="1" applyAlignment="1" applyProtection="1">
      <alignment horizontal="center" vertical="center" wrapText="1"/>
    </xf>
    <xf numFmtId="3" fontId="16" fillId="16" borderId="10" xfId="0" applyNumberFormat="1" applyFont="1" applyFill="1" applyBorder="1" applyAlignment="1" applyProtection="1">
      <alignment vertical="center" wrapText="1"/>
    </xf>
    <xf numFmtId="3" fontId="34" fillId="16" borderId="18" xfId="0" applyNumberFormat="1" applyFont="1" applyFill="1" applyBorder="1" applyAlignment="1" applyProtection="1">
      <alignment vertical="center"/>
    </xf>
    <xf numFmtId="0" fontId="8" fillId="16" borderId="14" xfId="0" applyFont="1" applyFill="1" applyBorder="1" applyAlignment="1" applyProtection="1">
      <alignment vertical="center" wrapText="1"/>
    </xf>
    <xf numFmtId="0" fontId="8" fillId="16" borderId="16" xfId="0" applyFont="1" applyFill="1" applyBorder="1" applyAlignment="1" applyProtection="1">
      <alignment vertical="center" wrapText="1"/>
    </xf>
    <xf numFmtId="0" fontId="8" fillId="16" borderId="18" xfId="0" applyFont="1" applyFill="1" applyBorder="1" applyAlignment="1" applyProtection="1">
      <alignment vertical="center" wrapText="1"/>
    </xf>
    <xf numFmtId="3" fontId="34" fillId="16" borderId="10" xfId="0" applyNumberFormat="1" applyFont="1" applyFill="1" applyBorder="1" applyAlignment="1" applyProtection="1">
      <alignment vertical="center"/>
    </xf>
    <xf numFmtId="3" fontId="16" fillId="16" borderId="10" xfId="0" applyNumberFormat="1" applyFont="1" applyFill="1" applyBorder="1" applyAlignment="1" applyProtection="1">
      <alignment horizontal="left" vertical="center"/>
    </xf>
    <xf numFmtId="3" fontId="16" fillId="16" borderId="10" xfId="0" applyNumberFormat="1" applyFont="1" applyFill="1" applyBorder="1" applyAlignment="1" applyProtection="1">
      <alignment vertical="center"/>
    </xf>
    <xf numFmtId="0" fontId="16" fillId="16" borderId="10" xfId="0" applyFont="1" applyFill="1" applyBorder="1" applyAlignment="1" applyProtection="1">
      <alignment vertical="center"/>
    </xf>
    <xf numFmtId="0" fontId="16" fillId="16" borderId="10" xfId="0" applyFont="1" applyFill="1" applyBorder="1" applyAlignment="1" applyProtection="1">
      <alignment vertical="center" wrapText="1"/>
    </xf>
    <xf numFmtId="3" fontId="34" fillId="16" borderId="12" xfId="0" applyNumberFormat="1" applyFont="1" applyFill="1" applyBorder="1" applyAlignment="1" applyProtection="1">
      <alignment vertical="center"/>
    </xf>
    <xf numFmtId="0" fontId="16" fillId="16" borderId="10" xfId="0" applyFont="1" applyFill="1" applyBorder="1" applyAlignment="1" applyProtection="1">
      <alignment horizontal="left" vertical="center"/>
    </xf>
    <xf numFmtId="3" fontId="16" fillId="16" borderId="10" xfId="0" applyNumberFormat="1" applyFont="1" applyFill="1" applyBorder="1" applyAlignment="1" applyProtection="1">
      <alignment horizontal="left"/>
    </xf>
    <xf numFmtId="0" fontId="16" fillId="16" borderId="10" xfId="0" applyFont="1" applyFill="1" applyBorder="1" applyAlignment="1" applyProtection="1">
      <alignment wrapText="1"/>
    </xf>
    <xf numFmtId="0" fontId="16" fillId="16" borderId="10" xfId="0" applyFont="1" applyFill="1" applyBorder="1" applyProtection="1"/>
    <xf numFmtId="0" fontId="16" fillId="16" borderId="10" xfId="0" applyFont="1" applyFill="1" applyBorder="1" applyAlignment="1" applyProtection="1">
      <alignment horizontal="center" vertical="center"/>
    </xf>
    <xf numFmtId="0" fontId="16" fillId="16" borderId="10" xfId="6" applyFont="1" applyFill="1" applyBorder="1" applyAlignment="1" applyProtection="1">
      <alignment horizontal="left" vertical="center" wrapText="1"/>
    </xf>
    <xf numFmtId="3" fontId="16" fillId="16" borderId="10" xfId="6" applyNumberFormat="1" applyFont="1" applyFill="1" applyBorder="1" applyAlignment="1" applyProtection="1">
      <alignment horizontal="left" vertical="center" wrapText="1"/>
    </xf>
    <xf numFmtId="0" fontId="16" fillId="16" borderId="10" xfId="6" applyFont="1" applyFill="1" applyBorder="1" applyAlignment="1" applyProtection="1">
      <alignment vertical="center" wrapText="1"/>
    </xf>
    <xf numFmtId="3" fontId="16" fillId="16" borderId="10" xfId="6" applyNumberFormat="1" applyFont="1" applyFill="1" applyBorder="1" applyAlignment="1" applyProtection="1">
      <alignment horizontal="left" wrapText="1"/>
    </xf>
    <xf numFmtId="0" fontId="16" fillId="16" borderId="18" xfId="6" applyFont="1" applyFill="1" applyBorder="1" applyAlignment="1" applyProtection="1">
      <alignment vertical="center" wrapText="1"/>
    </xf>
    <xf numFmtId="3" fontId="19" fillId="16" borderId="10" xfId="0" applyNumberFormat="1" applyFont="1" applyFill="1" applyBorder="1" applyAlignment="1" applyProtection="1">
      <alignment vertical="center"/>
    </xf>
    <xf numFmtId="0" fontId="16" fillId="16" borderId="18" xfId="0" applyFont="1" applyFill="1" applyBorder="1" applyProtection="1"/>
    <xf numFmtId="0" fontId="17" fillId="16" borderId="10" xfId="11" applyFont="1" applyFill="1" applyBorder="1" applyAlignment="1" applyProtection="1">
      <alignment vertical="center" wrapText="1"/>
    </xf>
    <xf numFmtId="4" fontId="34" fillId="16" borderId="10" xfId="11" applyNumberFormat="1" applyFont="1" applyFill="1" applyBorder="1" applyAlignment="1" applyProtection="1">
      <alignment vertical="center"/>
    </xf>
    <xf numFmtId="0" fontId="8" fillId="16" borderId="18" xfId="0" applyFont="1" applyFill="1" applyBorder="1" applyProtection="1"/>
    <xf numFmtId="3" fontId="34" fillId="16" borderId="24" xfId="11" applyNumberFormat="1" applyFont="1" applyFill="1" applyBorder="1" applyAlignment="1" applyProtection="1">
      <alignment horizontal="right" vertical="center"/>
    </xf>
    <xf numFmtId="3" fontId="34" fillId="16" borderId="10" xfId="11" applyNumberFormat="1" applyFont="1" applyFill="1" applyBorder="1" applyAlignment="1" applyProtection="1">
      <alignment horizontal="right" vertical="center"/>
    </xf>
    <xf numFmtId="4" fontId="34" fillId="16" borderId="24" xfId="11" applyNumberFormat="1" applyFont="1" applyFill="1" applyBorder="1" applyAlignment="1" applyProtection="1">
      <alignment horizontal="right" vertical="center"/>
    </xf>
    <xf numFmtId="4" fontId="34" fillId="16" borderId="10" xfId="11" applyNumberFormat="1" applyFont="1" applyFill="1" applyBorder="1" applyAlignment="1" applyProtection="1">
      <alignment horizontal="right" vertical="center"/>
    </xf>
    <xf numFmtId="3" fontId="19" fillId="17" borderId="10" xfId="0" applyNumberFormat="1" applyFont="1" applyFill="1" applyBorder="1" applyAlignment="1" applyProtection="1">
      <alignment vertical="center"/>
    </xf>
    <xf numFmtId="0" fontId="16" fillId="17" borderId="60" xfId="6" applyFont="1" applyFill="1" applyBorder="1" applyAlignment="1" applyProtection="1">
      <alignment vertical="center" wrapText="1"/>
    </xf>
    <xf numFmtId="3" fontId="16" fillId="17" borderId="10" xfId="0" applyNumberFormat="1" applyFont="1" applyFill="1" applyBorder="1" applyAlignment="1" applyProtection="1">
      <alignment vertical="center" wrapText="1"/>
    </xf>
    <xf numFmtId="3" fontId="34" fillId="17" borderId="18" xfId="0" applyNumberFormat="1" applyFont="1" applyFill="1" applyBorder="1" applyAlignment="1" applyProtection="1">
      <alignment vertical="center"/>
    </xf>
    <xf numFmtId="0" fontId="19" fillId="17" borderId="15" xfId="6" applyFont="1" applyFill="1" applyBorder="1" applyAlignment="1" applyProtection="1">
      <alignment horizontal="center"/>
    </xf>
    <xf numFmtId="3" fontId="19" fillId="17" borderId="12" xfId="6" applyNumberFormat="1" applyFont="1" applyFill="1" applyBorder="1" applyAlignment="1" applyProtection="1">
      <alignment horizontal="right" vertical="center"/>
    </xf>
    <xf numFmtId="3" fontId="19" fillId="17" borderId="21" xfId="6" applyNumberFormat="1" applyFont="1" applyFill="1" applyBorder="1" applyAlignment="1" applyProtection="1">
      <alignment horizontal="right" vertical="center"/>
    </xf>
    <xf numFmtId="3" fontId="19" fillId="17" borderId="61" xfId="6" applyNumberFormat="1" applyFont="1" applyFill="1" applyBorder="1" applyAlignment="1" applyProtection="1">
      <alignment horizontal="right" vertical="center"/>
    </xf>
    <xf numFmtId="3" fontId="19" fillId="17" borderId="18" xfId="6" applyNumberFormat="1" applyFont="1" applyFill="1" applyBorder="1" applyAlignment="1" applyProtection="1">
      <alignment horizontal="right" vertical="center"/>
    </xf>
    <xf numFmtId="3" fontId="19" fillId="17" borderId="56" xfId="6" applyNumberFormat="1" applyFont="1" applyFill="1" applyBorder="1" applyAlignment="1" applyProtection="1">
      <alignment horizontal="right" vertical="center"/>
    </xf>
    <xf numFmtId="3" fontId="19" fillId="17" borderId="10" xfId="6" applyNumberFormat="1" applyFont="1" applyFill="1" applyBorder="1" applyAlignment="1" applyProtection="1">
      <alignment horizontal="right" vertical="center"/>
    </xf>
    <xf numFmtId="3" fontId="16" fillId="17" borderId="10" xfId="6" applyNumberFormat="1" applyFont="1" applyFill="1" applyBorder="1" applyAlignment="1" applyProtection="1">
      <alignment vertical="center" wrapText="1"/>
    </xf>
    <xf numFmtId="0" fontId="16" fillId="17" borderId="10" xfId="6" applyFont="1" applyFill="1" applyBorder="1" applyAlignment="1" applyProtection="1">
      <alignment horizontal="left" vertical="center" wrapText="1"/>
    </xf>
    <xf numFmtId="3" fontId="16" fillId="17" borderId="10" xfId="6" applyNumberFormat="1" applyFont="1" applyFill="1" applyBorder="1" applyAlignment="1" applyProtection="1">
      <alignment horizontal="left" vertical="center" wrapText="1"/>
    </xf>
    <xf numFmtId="0" fontId="16" fillId="17" borderId="10" xfId="6" applyFont="1" applyFill="1" applyBorder="1" applyAlignment="1" applyProtection="1">
      <alignment vertical="center" wrapText="1"/>
    </xf>
    <xf numFmtId="3" fontId="16" fillId="17" borderId="10" xfId="6" applyNumberFormat="1" applyFont="1" applyFill="1" applyBorder="1" applyAlignment="1" applyProtection="1">
      <alignment horizontal="left" wrapText="1"/>
    </xf>
    <xf numFmtId="0" fontId="16" fillId="17" borderId="10" xfId="11" applyFont="1" applyFill="1" applyBorder="1" applyAlignment="1" applyProtection="1">
      <alignment vertical="center" wrapText="1"/>
    </xf>
    <xf numFmtId="0" fontId="17" fillId="4" borderId="10" xfId="0" applyFont="1" applyFill="1" applyBorder="1" applyAlignment="1" applyProtection="1">
      <alignment horizontal="center"/>
    </xf>
    <xf numFmtId="0" fontId="16" fillId="4" borderId="23" xfId="13" applyFont="1" applyFill="1" applyBorder="1" applyAlignment="1" applyProtection="1">
      <alignment vertical="center" wrapText="1"/>
    </xf>
    <xf numFmtId="3" fontId="19" fillId="4" borderId="47" xfId="13" applyNumberFormat="1" applyFont="1" applyFill="1" applyBorder="1" applyAlignment="1" applyProtection="1">
      <alignment vertical="center"/>
    </xf>
    <xf numFmtId="169" fontId="19" fillId="4" borderId="48" xfId="13" applyNumberFormat="1" applyFont="1" applyFill="1" applyBorder="1" applyAlignment="1" applyProtection="1">
      <alignment vertical="center"/>
    </xf>
    <xf numFmtId="3" fontId="19" fillId="4" borderId="48" xfId="13" applyNumberFormat="1" applyFont="1" applyFill="1" applyBorder="1" applyAlignment="1" applyProtection="1">
      <alignment vertical="center"/>
    </xf>
    <xf numFmtId="3" fontId="19" fillId="4" borderId="42" xfId="13" applyNumberFormat="1" applyFont="1" applyFill="1" applyBorder="1" applyAlignment="1" applyProtection="1">
      <alignment vertical="center"/>
    </xf>
    <xf numFmtId="0" fontId="16" fillId="4" borderId="23" xfId="13" applyFont="1" applyFill="1" applyBorder="1" applyAlignment="1" applyProtection="1">
      <alignment vertical="center"/>
    </xf>
    <xf numFmtId="3" fontId="19" fillId="4" borderId="62" xfId="13" applyNumberFormat="1" applyFont="1" applyFill="1" applyBorder="1" applyAlignment="1" applyProtection="1">
      <alignment vertical="center"/>
    </xf>
    <xf numFmtId="3" fontId="19" fillId="4" borderId="57" xfId="13" applyNumberFormat="1" applyFont="1" applyFill="1" applyBorder="1" applyAlignment="1" applyProtection="1">
      <alignment vertical="center"/>
    </xf>
    <xf numFmtId="169" fontId="19" fillId="4" borderId="62" xfId="13" applyNumberFormat="1" applyFont="1" applyFill="1" applyBorder="1" applyAlignment="1" applyProtection="1">
      <alignment vertical="center"/>
    </xf>
    <xf numFmtId="169" fontId="19" fillId="4" borderId="57" xfId="13" applyNumberFormat="1" applyFont="1" applyFill="1" applyBorder="1" applyAlignment="1" applyProtection="1">
      <alignment vertical="center"/>
    </xf>
    <xf numFmtId="0" fontId="16" fillId="18" borderId="63" xfId="13" applyFont="1" applyFill="1" applyBorder="1" applyAlignment="1" applyProtection="1">
      <alignment vertical="center" wrapText="1"/>
    </xf>
    <xf numFmtId="3" fontId="19" fillId="19" borderId="23" xfId="13" applyNumberFormat="1" applyFont="1" applyFill="1" applyBorder="1" applyAlignment="1" applyProtection="1">
      <alignment vertical="center"/>
    </xf>
    <xf numFmtId="3" fontId="19" fillId="19" borderId="47" xfId="13" applyNumberFormat="1" applyFont="1" applyFill="1" applyBorder="1" applyAlignment="1" applyProtection="1">
      <alignment vertical="center"/>
    </xf>
    <xf numFmtId="169" fontId="19" fillId="19" borderId="48" xfId="13" applyNumberFormat="1" applyFont="1" applyFill="1" applyBorder="1" applyAlignment="1" applyProtection="1">
      <alignment vertical="center"/>
    </xf>
    <xf numFmtId="3" fontId="19" fillId="19" borderId="48" xfId="13" applyNumberFormat="1" applyFont="1" applyFill="1" applyBorder="1" applyAlignment="1" applyProtection="1">
      <alignment vertical="center"/>
    </xf>
    <xf numFmtId="3" fontId="19" fillId="19" borderId="42" xfId="13" applyNumberFormat="1" applyFont="1" applyFill="1" applyBorder="1" applyAlignment="1" applyProtection="1">
      <alignment vertical="center"/>
    </xf>
    <xf numFmtId="0" fontId="16" fillId="18" borderId="23" xfId="13" applyFont="1" applyFill="1" applyBorder="1" applyAlignment="1" applyProtection="1">
      <alignment vertical="center"/>
    </xf>
    <xf numFmtId="169" fontId="19" fillId="19" borderId="62" xfId="13" applyNumberFormat="1" applyFont="1" applyFill="1" applyBorder="1" applyAlignment="1" applyProtection="1">
      <alignment vertical="center"/>
    </xf>
    <xf numFmtId="169" fontId="19" fillId="19" borderId="57" xfId="13" applyNumberFormat="1" applyFont="1" applyFill="1" applyBorder="1" applyAlignment="1" applyProtection="1">
      <alignment vertical="center"/>
    </xf>
    <xf numFmtId="0" fontId="16" fillId="18" borderId="23" xfId="13" applyFont="1" applyFill="1" applyBorder="1" applyAlignment="1" applyProtection="1">
      <alignment vertical="center" wrapText="1"/>
    </xf>
    <xf numFmtId="3" fontId="16" fillId="18" borderId="18" xfId="11" applyNumberFormat="1" applyFont="1" applyFill="1" applyBorder="1" applyAlignment="1" applyProtection="1">
      <alignment horizontal="left" vertical="center"/>
    </xf>
    <xf numFmtId="3" fontId="16" fillId="18" borderId="17" xfId="6" applyNumberFormat="1" applyFont="1" applyFill="1" applyBorder="1" applyAlignment="1" applyProtection="1">
      <alignment vertical="center"/>
    </xf>
    <xf numFmtId="3" fontId="16" fillId="18" borderId="10" xfId="6" applyNumberFormat="1" applyFont="1" applyFill="1" applyBorder="1" applyAlignment="1" applyProtection="1">
      <alignment vertical="center"/>
    </xf>
    <xf numFmtId="0" fontId="16" fillId="18" borderId="12" xfId="6" applyFont="1" applyFill="1" applyBorder="1" applyAlignment="1" applyProtection="1">
      <alignment horizontal="left" vertical="center"/>
    </xf>
    <xf numFmtId="0" fontId="16" fillId="18" borderId="18" xfId="6" applyFont="1" applyFill="1" applyBorder="1" applyAlignment="1" applyProtection="1">
      <alignment vertical="center"/>
    </xf>
    <xf numFmtId="0" fontId="16" fillId="18" borderId="10" xfId="6" applyFont="1" applyFill="1" applyBorder="1" applyAlignment="1" applyProtection="1">
      <alignment vertical="center"/>
    </xf>
    <xf numFmtId="3" fontId="16" fillId="18" borderId="10" xfId="6" applyNumberFormat="1" applyFont="1" applyFill="1" applyBorder="1" applyAlignment="1" applyProtection="1">
      <alignment horizontal="left" vertical="center" wrapText="1"/>
    </xf>
    <xf numFmtId="0" fontId="16" fillId="18" borderId="10" xfId="6" applyFont="1" applyFill="1" applyBorder="1" applyAlignment="1" applyProtection="1">
      <alignment vertical="center" wrapText="1"/>
    </xf>
    <xf numFmtId="0" fontId="16" fillId="18" borderId="24" xfId="11" applyFont="1" applyFill="1" applyBorder="1" applyAlignment="1" applyProtection="1">
      <alignment vertical="center" wrapText="1"/>
    </xf>
    <xf numFmtId="3" fontId="19" fillId="18" borderId="10" xfId="12" applyNumberFormat="1" applyFont="1" applyFill="1" applyBorder="1" applyAlignment="1" applyProtection="1">
      <alignment vertical="center"/>
    </xf>
    <xf numFmtId="0" fontId="16" fillId="18" borderId="10" xfId="12" applyFont="1" applyFill="1" applyBorder="1" applyAlignment="1" applyProtection="1">
      <alignment vertical="center" wrapText="1"/>
    </xf>
    <xf numFmtId="0" fontId="16" fillId="18" borderId="10" xfId="12" applyFont="1" applyFill="1" applyBorder="1" applyAlignment="1" applyProtection="1">
      <alignment vertical="center"/>
    </xf>
    <xf numFmtId="3" fontId="19" fillId="18" borderId="10" xfId="11" applyNumberFormat="1" applyFont="1" applyFill="1" applyBorder="1" applyAlignment="1" applyProtection="1">
      <alignment vertical="center"/>
    </xf>
    <xf numFmtId="0" fontId="16" fillId="18" borderId="10" xfId="11" applyFont="1" applyFill="1" applyBorder="1" applyAlignment="1" applyProtection="1">
      <alignment vertical="center" wrapText="1"/>
    </xf>
    <xf numFmtId="0" fontId="16" fillId="18" borderId="10" xfId="11" applyFont="1" applyFill="1" applyBorder="1" applyAlignment="1" applyProtection="1">
      <alignment vertical="center"/>
    </xf>
    <xf numFmtId="0" fontId="16" fillId="18" borderId="64" xfId="11" applyFont="1" applyFill="1" applyBorder="1" applyAlignment="1" applyProtection="1">
      <alignment horizontal="left" vertical="center"/>
    </xf>
    <xf numFmtId="3" fontId="19" fillId="17" borderId="21" xfId="0" applyNumberFormat="1" applyFont="1" applyFill="1" applyBorder="1" applyAlignment="1" applyProtection="1">
      <alignment vertical="center"/>
    </xf>
    <xf numFmtId="4" fontId="34" fillId="18" borderId="24" xfId="11" applyNumberFormat="1" applyFont="1" applyFill="1" applyBorder="1" applyAlignment="1" applyProtection="1">
      <alignment horizontal="right" vertical="center"/>
    </xf>
    <xf numFmtId="0" fontId="15" fillId="0" borderId="0" xfId="2" applyAlignment="1" applyProtection="1">
      <alignment horizontal="center"/>
    </xf>
    <xf numFmtId="0" fontId="19" fillId="0" borderId="56" xfId="0" applyFont="1" applyBorder="1" applyProtection="1"/>
    <xf numFmtId="0" fontId="45" fillId="0" borderId="0" xfId="0" applyFont="1" applyProtection="1"/>
    <xf numFmtId="3" fontId="19" fillId="0" borderId="0" xfId="6" applyNumberFormat="1" applyFont="1" applyFill="1" applyBorder="1" applyAlignment="1" applyProtection="1">
      <alignment horizontal="right" vertical="center" wrapText="1"/>
    </xf>
    <xf numFmtId="0" fontId="19" fillId="0" borderId="13" xfId="0" applyFont="1" applyBorder="1" applyProtection="1"/>
    <xf numFmtId="0" fontId="130" fillId="0" borderId="0" xfId="13" applyProtection="1"/>
    <xf numFmtId="0" fontId="57" fillId="0" borderId="0" xfId="13" applyFont="1" applyProtection="1"/>
    <xf numFmtId="0" fontId="16" fillId="0" borderId="0" xfId="13" applyFont="1" applyProtection="1"/>
    <xf numFmtId="0" fontId="19" fillId="7" borderId="0" xfId="13" applyFont="1" applyFill="1" applyAlignment="1" applyProtection="1"/>
    <xf numFmtId="0" fontId="16" fillId="7" borderId="0" xfId="13" applyFont="1" applyFill="1" applyAlignment="1" applyProtection="1"/>
    <xf numFmtId="169" fontId="50" fillId="0" borderId="0" xfId="13" applyNumberFormat="1" applyFont="1" applyFill="1" applyBorder="1" applyAlignment="1" applyProtection="1">
      <alignment vertical="center"/>
    </xf>
    <xf numFmtId="169" fontId="30" fillId="0" borderId="0" xfId="13" applyNumberFormat="1" applyFont="1" applyFill="1" applyBorder="1" applyAlignment="1" applyProtection="1">
      <alignment vertical="center"/>
    </xf>
    <xf numFmtId="0" fontId="19" fillId="0" borderId="12" xfId="0" applyFont="1" applyBorder="1" applyProtection="1"/>
    <xf numFmtId="0" fontId="19" fillId="0" borderId="11" xfId="0" applyFont="1" applyBorder="1" applyProtection="1"/>
    <xf numFmtId="0" fontId="57" fillId="0" borderId="0" xfId="13" applyFont="1" applyAlignment="1" applyProtection="1">
      <alignment vertical="center"/>
    </xf>
    <xf numFmtId="0" fontId="19" fillId="0" borderId="24" xfId="1" applyFont="1" applyBorder="1" applyAlignment="1" applyProtection="1">
      <alignment horizontal="center"/>
    </xf>
    <xf numFmtId="0" fontId="34" fillId="0" borderId="64" xfId="6" applyFont="1" applyBorder="1" applyProtection="1"/>
    <xf numFmtId="0" fontId="34" fillId="0" borderId="65" xfId="6" applyFont="1" applyBorder="1" applyProtection="1"/>
    <xf numFmtId="0" fontId="34" fillId="0" borderId="37" xfId="6" applyFont="1" applyBorder="1" applyProtection="1"/>
    <xf numFmtId="0" fontId="46" fillId="0" borderId="65" xfId="6" applyFont="1" applyBorder="1" applyProtection="1"/>
    <xf numFmtId="0" fontId="19" fillId="0" borderId="59" xfId="0" applyFont="1" applyBorder="1" applyAlignment="1" applyProtection="1">
      <alignment vertical="center"/>
    </xf>
    <xf numFmtId="0" fontId="34" fillId="0" borderId="12" xfId="0" applyFont="1" applyBorder="1" applyAlignment="1" applyProtection="1">
      <alignment wrapText="1"/>
    </xf>
    <xf numFmtId="0" fontId="34" fillId="0" borderId="12" xfId="0" applyFont="1" applyBorder="1" applyAlignment="1" applyProtection="1">
      <alignment horizontal="left" wrapText="1"/>
    </xf>
    <xf numFmtId="0" fontId="34" fillId="18" borderId="12" xfId="0" applyFont="1" applyFill="1" applyBorder="1" applyProtection="1"/>
    <xf numFmtId="3" fontId="19" fillId="18" borderId="56" xfId="12" applyNumberFormat="1" applyFont="1" applyFill="1" applyBorder="1" applyAlignment="1" applyProtection="1">
      <alignment vertical="center"/>
    </xf>
    <xf numFmtId="0" fontId="17" fillId="0" borderId="66" xfId="0" applyFont="1" applyFill="1" applyBorder="1" applyProtection="1"/>
    <xf numFmtId="0" fontId="0" fillId="0" borderId="66" xfId="0" applyBorder="1" applyProtection="1"/>
    <xf numFmtId="0" fontId="8" fillId="0" borderId="20" xfId="0" applyFont="1" applyFill="1" applyBorder="1" applyAlignment="1" applyProtection="1">
      <alignment horizontal="center" vertical="center"/>
      <protection locked="0"/>
    </xf>
    <xf numFmtId="3" fontId="34" fillId="0" borderId="10" xfId="0" applyNumberFormat="1" applyFont="1" applyBorder="1" applyAlignment="1" applyProtection="1">
      <alignment vertical="center"/>
      <protection locked="0"/>
    </xf>
    <xf numFmtId="3" fontId="34" fillId="5" borderId="56" xfId="0" applyNumberFormat="1" applyFont="1" applyFill="1" applyBorder="1" applyAlignment="1" applyProtection="1">
      <alignment vertical="center"/>
      <protection locked="0"/>
    </xf>
    <xf numFmtId="3" fontId="34" fillId="5" borderId="10" xfId="0" applyNumberFormat="1" applyFont="1" applyFill="1" applyBorder="1" applyAlignment="1" applyProtection="1">
      <alignment vertical="center"/>
      <protection locked="0"/>
    </xf>
    <xf numFmtId="3" fontId="34" fillId="0" borderId="18" xfId="0" applyNumberFormat="1" applyFont="1" applyBorder="1" applyAlignment="1" applyProtection="1">
      <alignment vertical="center"/>
      <protection locked="0"/>
    </xf>
    <xf numFmtId="3" fontId="34" fillId="0" borderId="10" xfId="0" applyNumberFormat="1" applyFont="1" applyBorder="1" applyAlignment="1" applyProtection="1">
      <alignment vertical="center" wrapText="1"/>
      <protection locked="0"/>
    </xf>
    <xf numFmtId="3" fontId="19" fillId="0" borderId="56"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17" xfId="6" applyNumberFormat="1" applyFont="1" applyBorder="1" applyAlignment="1" applyProtection="1">
      <alignment horizontal="right" vertical="center"/>
      <protection locked="0"/>
    </xf>
    <xf numFmtId="3" fontId="19" fillId="0" borderId="12" xfId="6" applyNumberFormat="1" applyFont="1" applyBorder="1" applyAlignment="1" applyProtection="1">
      <alignment horizontal="right" vertical="center"/>
      <protection locked="0"/>
    </xf>
    <xf numFmtId="3" fontId="19" fillId="0" borderId="10" xfId="6" applyNumberFormat="1" applyFont="1" applyFill="1" applyBorder="1" applyAlignment="1" applyProtection="1">
      <alignment horizontal="right" vertical="center"/>
      <protection locked="0"/>
    </xf>
    <xf numFmtId="3" fontId="19" fillId="0" borderId="56" xfId="6" applyNumberFormat="1" applyFont="1" applyFill="1" applyBorder="1" applyAlignment="1" applyProtection="1">
      <alignment horizontal="right" vertical="center"/>
      <protection locked="0"/>
    </xf>
    <xf numFmtId="3" fontId="19" fillId="0" borderId="10" xfId="6" applyNumberFormat="1" applyFont="1" applyBorder="1" applyAlignment="1" applyProtection="1">
      <alignment horizontal="right" vertical="center" wrapText="1"/>
      <protection locked="0"/>
    </xf>
    <xf numFmtId="3" fontId="34" fillId="0" borderId="24" xfId="11" applyNumberFormat="1" applyFont="1" applyBorder="1" applyAlignment="1" applyProtection="1">
      <alignment horizontal="right" vertical="center"/>
      <protection locked="0"/>
    </xf>
    <xf numFmtId="3" fontId="34" fillId="0" borderId="56" xfId="11" applyNumberFormat="1" applyFont="1" applyBorder="1" applyAlignment="1" applyProtection="1">
      <alignment horizontal="right" vertical="center"/>
      <protection locked="0"/>
    </xf>
    <xf numFmtId="3" fontId="34" fillId="0" borderId="10" xfId="11" applyNumberFormat="1" applyFont="1" applyBorder="1" applyAlignment="1" applyProtection="1">
      <alignment horizontal="right" vertical="center"/>
      <protection locked="0"/>
    </xf>
    <xf numFmtId="3" fontId="34" fillId="0" borderId="56" xfId="11" applyNumberFormat="1" applyFont="1" applyBorder="1" applyAlignment="1" applyProtection="1">
      <alignment horizontal="right" vertical="center" wrapText="1"/>
      <protection locked="0"/>
    </xf>
    <xf numFmtId="3" fontId="34" fillId="0" borderId="10" xfId="11" applyNumberFormat="1" applyFont="1" applyBorder="1" applyAlignment="1" applyProtection="1">
      <alignment horizontal="right" vertical="center" wrapText="1"/>
      <protection locked="0"/>
    </xf>
    <xf numFmtId="3" fontId="34" fillId="0" borderId="67" xfId="11" applyNumberFormat="1" applyFont="1" applyBorder="1" applyAlignment="1" applyProtection="1">
      <alignment horizontal="right" vertical="center" wrapText="1"/>
      <protection locked="0"/>
    </xf>
    <xf numFmtId="3" fontId="34" fillId="0" borderId="56" xfId="11" applyNumberFormat="1" applyFont="1" applyFill="1" applyBorder="1" applyAlignment="1" applyProtection="1">
      <alignment horizontal="right" vertical="center"/>
      <protection locked="0"/>
    </xf>
    <xf numFmtId="3" fontId="34" fillId="0" borderId="10" xfId="11" applyNumberFormat="1" applyFont="1" applyFill="1" applyBorder="1" applyAlignment="1" applyProtection="1">
      <alignment horizontal="right" vertical="center"/>
      <protection locked="0"/>
    </xf>
    <xf numFmtId="3" fontId="19" fillId="0" borderId="10" xfId="0" applyNumberFormat="1" applyFont="1" applyBorder="1" applyAlignment="1" applyProtection="1">
      <alignment vertical="center"/>
      <protection locked="0"/>
    </xf>
    <xf numFmtId="3" fontId="34" fillId="0" borderId="68" xfId="0" applyNumberFormat="1" applyFont="1" applyBorder="1" applyAlignment="1" applyProtection="1">
      <alignment vertical="center"/>
      <protection locked="0"/>
    </xf>
    <xf numFmtId="3" fontId="34" fillId="0" borderId="69" xfId="0" applyNumberFormat="1" applyFont="1" applyBorder="1" applyAlignment="1" applyProtection="1">
      <alignment vertical="center"/>
      <protection locked="0"/>
    </xf>
    <xf numFmtId="3" fontId="19" fillId="0" borderId="61" xfId="6" applyNumberFormat="1" applyFont="1" applyBorder="1" applyAlignment="1" applyProtection="1">
      <alignment horizontal="right" vertical="center"/>
      <protection locked="0"/>
    </xf>
    <xf numFmtId="3" fontId="19" fillId="0" borderId="70" xfId="6" applyNumberFormat="1" applyFont="1" applyBorder="1" applyAlignment="1" applyProtection="1">
      <alignment horizontal="right" vertical="center"/>
      <protection locked="0"/>
    </xf>
    <xf numFmtId="3" fontId="19" fillId="0" borderId="10" xfId="6" applyNumberFormat="1" applyFont="1" applyBorder="1" applyAlignment="1" applyProtection="1">
      <alignment vertical="center" wrapText="1"/>
      <protection locked="0"/>
    </xf>
    <xf numFmtId="3" fontId="19" fillId="0" borderId="16" xfId="6" applyNumberFormat="1" applyFont="1" applyFill="1" applyBorder="1" applyAlignment="1" applyProtection="1">
      <alignment horizontal="right" vertical="center"/>
      <protection locked="0"/>
    </xf>
    <xf numFmtId="3" fontId="19" fillId="0" borderId="8" xfId="6" applyNumberFormat="1" applyFont="1" applyFill="1" applyBorder="1" applyAlignment="1" applyProtection="1">
      <alignment horizontal="right" vertical="center"/>
      <protection locked="0"/>
    </xf>
    <xf numFmtId="3" fontId="19" fillId="0" borderId="21" xfId="6" applyNumberFormat="1" applyFont="1" applyFill="1" applyBorder="1" applyAlignment="1" applyProtection="1">
      <alignment horizontal="right" vertical="center"/>
      <protection locked="0"/>
    </xf>
    <xf numFmtId="3" fontId="19" fillId="0" borderId="18" xfId="6" applyNumberFormat="1" applyFont="1" applyFill="1" applyBorder="1" applyAlignment="1" applyProtection="1">
      <alignment horizontal="right" vertical="center"/>
      <protection locked="0"/>
    </xf>
    <xf numFmtId="3" fontId="19" fillId="0" borderId="71" xfId="6" applyNumberFormat="1" applyFont="1" applyFill="1" applyBorder="1" applyAlignment="1" applyProtection="1">
      <alignment horizontal="right" vertical="center"/>
      <protection locked="0"/>
    </xf>
    <xf numFmtId="3" fontId="19" fillId="0" borderId="28" xfId="6" applyNumberFormat="1" applyFont="1" applyBorder="1" applyAlignment="1" applyProtection="1">
      <alignment horizontal="right" vertical="center"/>
      <protection locked="0"/>
    </xf>
    <xf numFmtId="3" fontId="19" fillId="0" borderId="14" xfId="6" applyNumberFormat="1" applyFont="1" applyBorder="1" applyAlignment="1" applyProtection="1">
      <alignment horizontal="right" vertical="center"/>
      <protection locked="0"/>
    </xf>
    <xf numFmtId="3" fontId="19" fillId="0" borderId="72" xfId="6" applyNumberFormat="1" applyFont="1" applyBorder="1" applyAlignment="1" applyProtection="1">
      <alignment horizontal="right" vertical="center"/>
      <protection locked="0"/>
    </xf>
    <xf numFmtId="3" fontId="19" fillId="0" borderId="73" xfId="6" applyNumberFormat="1" applyFont="1" applyBorder="1" applyAlignment="1" applyProtection="1">
      <alignment horizontal="right" vertical="center"/>
      <protection locked="0"/>
    </xf>
    <xf numFmtId="3" fontId="19" fillId="0" borderId="55" xfId="6" applyNumberFormat="1" applyFont="1" applyBorder="1" applyAlignment="1" applyProtection="1">
      <alignment horizontal="right" vertical="center"/>
      <protection locked="0"/>
    </xf>
    <xf numFmtId="3" fontId="19" fillId="5" borderId="18" xfId="6" applyNumberFormat="1" applyFont="1" applyFill="1" applyBorder="1" applyAlignment="1" applyProtection="1">
      <alignment horizontal="right" vertical="center"/>
      <protection locked="0"/>
    </xf>
    <xf numFmtId="3" fontId="19" fillId="5" borderId="17" xfId="6" applyNumberFormat="1" applyFont="1" applyFill="1" applyBorder="1" applyAlignment="1" applyProtection="1">
      <alignment horizontal="right" vertical="center"/>
      <protection locked="0"/>
    </xf>
    <xf numFmtId="3" fontId="19" fillId="5" borderId="21" xfId="6" applyNumberFormat="1" applyFont="1" applyFill="1" applyBorder="1" applyAlignment="1" applyProtection="1">
      <alignment horizontal="right" vertical="center"/>
      <protection locked="0"/>
    </xf>
    <xf numFmtId="3" fontId="19" fillId="5" borderId="71" xfId="6" applyNumberFormat="1" applyFont="1" applyFill="1" applyBorder="1" applyAlignment="1" applyProtection="1">
      <alignment horizontal="right" vertical="center"/>
      <protection locked="0"/>
    </xf>
    <xf numFmtId="3" fontId="19" fillId="0" borderId="74" xfId="6" applyNumberFormat="1" applyFont="1" applyBorder="1" applyAlignment="1" applyProtection="1">
      <alignment horizontal="right" vertical="center"/>
      <protection locked="0"/>
    </xf>
    <xf numFmtId="3" fontId="19" fillId="0" borderId="21" xfId="6" applyNumberFormat="1" applyFont="1" applyBorder="1" applyAlignment="1" applyProtection="1">
      <alignment horizontal="right" vertical="center"/>
      <protection locked="0"/>
    </xf>
    <xf numFmtId="3" fontId="19" fillId="0" borderId="18" xfId="6" applyNumberFormat="1" applyFont="1" applyBorder="1" applyAlignment="1" applyProtection="1">
      <alignment horizontal="right" vertical="center"/>
      <protection locked="0"/>
    </xf>
    <xf numFmtId="3" fontId="19" fillId="0" borderId="71" xfId="6" applyNumberFormat="1" applyFont="1" applyBorder="1" applyAlignment="1" applyProtection="1">
      <alignment horizontal="right" vertical="center"/>
      <protection locked="0"/>
    </xf>
    <xf numFmtId="3" fontId="19" fillId="0" borderId="11" xfId="6" applyNumberFormat="1" applyFont="1" applyBorder="1" applyAlignment="1" applyProtection="1">
      <alignment horizontal="right" vertical="center"/>
      <protection locked="0"/>
    </xf>
    <xf numFmtId="3" fontId="19" fillId="0" borderId="13" xfId="6" applyNumberFormat="1" applyFont="1" applyBorder="1" applyAlignment="1" applyProtection="1">
      <alignment horizontal="right" vertical="center"/>
      <protection locked="0"/>
    </xf>
    <xf numFmtId="3" fontId="19" fillId="0" borderId="12" xfId="6" applyNumberFormat="1" applyFont="1" applyFill="1" applyBorder="1" applyAlignment="1" applyProtection="1">
      <alignment horizontal="right" vertical="center"/>
      <protection locked="0"/>
    </xf>
    <xf numFmtId="3" fontId="19" fillId="0" borderId="61" xfId="6" applyNumberFormat="1" applyFont="1" applyFill="1" applyBorder="1" applyAlignment="1" applyProtection="1">
      <alignment horizontal="right" vertical="center"/>
      <protection locked="0"/>
    </xf>
    <xf numFmtId="3" fontId="19" fillId="0" borderId="13" xfId="6" applyNumberFormat="1" applyFont="1" applyFill="1" applyBorder="1" applyAlignment="1" applyProtection="1">
      <alignment horizontal="right" vertical="center"/>
      <protection locked="0"/>
    </xf>
    <xf numFmtId="3" fontId="19" fillId="0" borderId="18" xfId="6" applyNumberFormat="1" applyFont="1" applyBorder="1" applyAlignment="1" applyProtection="1">
      <alignment vertical="center" wrapText="1"/>
      <protection locked="0"/>
    </xf>
    <xf numFmtId="3" fontId="19" fillId="0" borderId="18" xfId="6" applyNumberFormat="1" applyFont="1" applyBorder="1" applyAlignment="1" applyProtection="1">
      <alignment vertical="center"/>
      <protection locked="0"/>
    </xf>
    <xf numFmtId="3" fontId="19" fillId="0" borderId="8" xfId="6" applyNumberFormat="1" applyFont="1" applyBorder="1" applyAlignment="1" applyProtection="1">
      <alignment vertical="center"/>
      <protection locked="0"/>
    </xf>
    <xf numFmtId="3" fontId="19" fillId="0" borderId="10" xfId="6" applyNumberFormat="1" applyFont="1" applyBorder="1" applyAlignment="1" applyProtection="1">
      <alignment vertical="center"/>
      <protection locked="0"/>
    </xf>
    <xf numFmtId="3" fontId="19" fillId="0" borderId="14" xfId="6" applyNumberFormat="1" applyFont="1" applyBorder="1" applyAlignment="1" applyProtection="1">
      <alignment vertical="center"/>
      <protection locked="0"/>
    </xf>
    <xf numFmtId="3" fontId="19" fillId="0" borderId="24" xfId="6" applyNumberFormat="1" applyFont="1" applyBorder="1" applyAlignment="1" applyProtection="1">
      <alignment vertical="center"/>
      <protection locked="0"/>
    </xf>
    <xf numFmtId="0" fontId="34" fillId="20" borderId="24" xfId="6" applyFont="1" applyFill="1" applyBorder="1" applyAlignment="1" applyProtection="1">
      <alignment horizontal="center" vertical="center"/>
      <protection locked="0"/>
    </xf>
    <xf numFmtId="3" fontId="34" fillId="0" borderId="24" xfId="6" applyNumberFormat="1" applyFont="1" applyBorder="1" applyAlignment="1" applyProtection="1">
      <alignment vertical="center"/>
      <protection locked="0"/>
    </xf>
    <xf numFmtId="3" fontId="34" fillId="0" borderId="24" xfId="6" applyNumberFormat="1" applyFont="1" applyFill="1" applyBorder="1" applyAlignment="1" applyProtection="1">
      <alignment vertical="center"/>
      <protection locked="0"/>
    </xf>
    <xf numFmtId="168" fontId="34" fillId="0" borderId="57" xfId="0" applyNumberFormat="1" applyFont="1" applyFill="1" applyBorder="1" applyAlignment="1" applyProtection="1">
      <alignment horizontal="center" vertical="center"/>
      <protection locked="0"/>
    </xf>
    <xf numFmtId="3" fontId="19" fillId="0" borderId="75" xfId="13" applyNumberFormat="1" applyFont="1" applyFill="1" applyBorder="1" applyAlignment="1" applyProtection="1">
      <alignment vertical="center"/>
      <protection locked="0"/>
    </xf>
    <xf numFmtId="3" fontId="19" fillId="0" borderId="76" xfId="13" applyNumberFormat="1" applyFont="1" applyFill="1" applyBorder="1" applyAlignment="1" applyProtection="1">
      <alignment vertical="center"/>
      <protection locked="0"/>
    </xf>
    <xf numFmtId="3" fontId="19" fillId="0" borderId="10" xfId="13" applyNumberFormat="1" applyFont="1" applyFill="1" applyBorder="1" applyAlignment="1" applyProtection="1">
      <alignment vertical="center"/>
      <protection locked="0"/>
    </xf>
    <xf numFmtId="3" fontId="19" fillId="0" borderId="14" xfId="13" applyNumberFormat="1" applyFont="1" applyFill="1" applyBorder="1" applyAlignment="1" applyProtection="1">
      <alignment vertical="center"/>
      <protection locked="0"/>
    </xf>
    <xf numFmtId="3" fontId="19" fillId="0" borderId="22" xfId="13" applyNumberFormat="1" applyFont="1" applyFill="1" applyBorder="1" applyAlignment="1" applyProtection="1">
      <alignment vertical="center"/>
      <protection locked="0"/>
    </xf>
    <xf numFmtId="3" fontId="19" fillId="0" borderId="77" xfId="13" applyNumberFormat="1" applyFont="1" applyFill="1" applyBorder="1" applyAlignment="1" applyProtection="1">
      <alignment vertical="center"/>
      <protection locked="0"/>
    </xf>
    <xf numFmtId="3" fontId="19" fillId="0" borderId="18" xfId="13" applyNumberFormat="1" applyFont="1" applyFill="1" applyBorder="1" applyAlignment="1" applyProtection="1">
      <alignment vertical="center"/>
      <protection locked="0"/>
    </xf>
    <xf numFmtId="3" fontId="19" fillId="0" borderId="56" xfId="0" applyNumberFormat="1" applyFont="1" applyBorder="1" applyAlignment="1" applyProtection="1">
      <alignment vertical="center"/>
      <protection locked="0"/>
    </xf>
    <xf numFmtId="0" fontId="19" fillId="21" borderId="10" xfId="0" applyFont="1" applyFill="1" applyBorder="1" applyAlignment="1" applyProtection="1">
      <alignment horizontal="center"/>
      <protection locked="0"/>
    </xf>
    <xf numFmtId="3" fontId="19" fillId="0" borderId="18" xfId="0" applyNumberFormat="1" applyFont="1" applyBorder="1" applyAlignment="1" applyProtection="1">
      <alignment vertical="center"/>
      <protection locked="0"/>
    </xf>
    <xf numFmtId="3" fontId="19" fillId="0" borderId="12" xfId="0" applyNumberFormat="1" applyFont="1" applyBorder="1" applyAlignment="1" applyProtection="1">
      <alignment vertical="center"/>
      <protection locked="0"/>
    </xf>
    <xf numFmtId="0" fontId="19" fillId="20" borderId="24" xfId="6" applyFont="1" applyFill="1" applyBorder="1" applyAlignment="1" applyProtection="1">
      <alignment horizontal="center"/>
      <protection locked="0"/>
    </xf>
    <xf numFmtId="3" fontId="19" fillId="0" borderId="12" xfId="13" applyNumberFormat="1" applyFont="1" applyBorder="1" applyAlignment="1" applyProtection="1">
      <alignment vertical="center"/>
      <protection locked="0"/>
    </xf>
    <xf numFmtId="0" fontId="34" fillId="20" borderId="24" xfId="6" applyFont="1" applyFill="1" applyBorder="1" applyAlignment="1" applyProtection="1">
      <alignment horizontal="center"/>
      <protection locked="0"/>
    </xf>
    <xf numFmtId="0" fontId="19" fillId="20" borderId="24" xfId="6" applyFont="1" applyFill="1" applyBorder="1" applyAlignment="1" applyProtection="1">
      <alignment horizontal="center" vertical="center"/>
      <protection locked="0"/>
    </xf>
    <xf numFmtId="3" fontId="19" fillId="0" borderId="10" xfId="13" applyNumberFormat="1" applyFont="1" applyFill="1" applyBorder="1" applyAlignment="1" applyProtection="1">
      <alignment vertical="center" wrapText="1"/>
      <protection locked="0"/>
    </xf>
    <xf numFmtId="3" fontId="19" fillId="0" borderId="18" xfId="13" applyNumberFormat="1" applyFont="1" applyFill="1" applyBorder="1" applyAlignment="1" applyProtection="1">
      <alignment vertical="center" wrapText="1"/>
      <protection locked="0"/>
    </xf>
    <xf numFmtId="3" fontId="19" fillId="0" borderId="10" xfId="12" applyNumberFormat="1" applyFont="1" applyBorder="1" applyAlignment="1" applyProtection="1">
      <alignment vertical="center"/>
      <protection locked="0"/>
    </xf>
    <xf numFmtId="3" fontId="19" fillId="0" borderId="10" xfId="12" applyNumberFormat="1" applyFont="1" applyFill="1" applyBorder="1" applyAlignment="1" applyProtection="1">
      <alignment vertical="center"/>
      <protection locked="0"/>
    </xf>
    <xf numFmtId="3" fontId="19" fillId="0" borderId="56" xfId="12" applyNumberFormat="1" applyFont="1" applyBorder="1" applyAlignment="1" applyProtection="1">
      <alignment vertical="center"/>
      <protection locked="0"/>
    </xf>
    <xf numFmtId="3" fontId="19" fillId="0" borderId="17" xfId="0" applyNumberFormat="1" applyFont="1" applyBorder="1" applyAlignment="1" applyProtection="1">
      <alignment vertical="center"/>
      <protection locked="0"/>
    </xf>
    <xf numFmtId="4" fontId="19" fillId="0" borderId="18" xfId="0" applyNumberFormat="1" applyFont="1" applyBorder="1" applyAlignment="1" applyProtection="1">
      <alignment vertical="center"/>
      <protection locked="0"/>
    </xf>
    <xf numFmtId="4" fontId="19" fillId="0" borderId="10" xfId="0" applyNumberFormat="1" applyFont="1" applyBorder="1" applyAlignment="1" applyProtection="1">
      <alignment vertical="center"/>
      <protection locked="0"/>
    </xf>
    <xf numFmtId="0" fontId="19" fillId="21" borderId="10" xfId="0" applyFont="1" applyFill="1" applyBorder="1" applyAlignment="1" applyProtection="1">
      <alignment horizontal="center" vertical="center"/>
      <protection locked="0"/>
    </xf>
    <xf numFmtId="166" fontId="0" fillId="0" borderId="78" xfId="0" quotePrefix="1" applyNumberFormat="1" applyFill="1" applyBorder="1" applyProtection="1">
      <protection locked="0"/>
    </xf>
    <xf numFmtId="3" fontId="19" fillId="0" borderId="14" xfId="6" applyNumberFormat="1" applyFont="1" applyBorder="1" applyAlignment="1" applyProtection="1">
      <alignment horizontal="right" vertical="center" wrapText="1"/>
      <protection locked="0"/>
    </xf>
    <xf numFmtId="3" fontId="19" fillId="22" borderId="79" xfId="13" applyNumberFormat="1" applyFont="1" applyFill="1" applyBorder="1" applyAlignment="1" applyProtection="1">
      <alignment vertical="center"/>
      <protection locked="0"/>
    </xf>
    <xf numFmtId="3" fontId="19" fillId="0" borderId="62" xfId="13" applyNumberFormat="1" applyFont="1" applyFill="1" applyBorder="1" applyAlignment="1" applyProtection="1">
      <alignment vertical="center"/>
      <protection locked="0"/>
    </xf>
    <xf numFmtId="3" fontId="19" fillId="22" borderId="12" xfId="13" applyNumberFormat="1" applyFont="1" applyFill="1" applyBorder="1" applyAlignment="1" applyProtection="1">
      <alignment vertical="center"/>
      <protection locked="0"/>
    </xf>
    <xf numFmtId="3" fontId="19" fillId="0" borderId="57" xfId="13" applyNumberFormat="1" applyFont="1" applyFill="1" applyBorder="1" applyAlignment="1" applyProtection="1">
      <alignment vertical="center"/>
      <protection locked="0"/>
    </xf>
    <xf numFmtId="3" fontId="19" fillId="0" borderId="58" xfId="13" applyNumberFormat="1" applyFont="1" applyFill="1" applyBorder="1" applyAlignment="1" applyProtection="1">
      <alignment vertical="center"/>
      <protection locked="0"/>
    </xf>
    <xf numFmtId="3" fontId="19" fillId="0" borderId="79" xfId="13" applyNumberFormat="1" applyFont="1" applyFill="1" applyBorder="1" applyAlignment="1" applyProtection="1">
      <alignment vertical="center"/>
      <protection locked="0"/>
    </xf>
    <xf numFmtId="3" fontId="19" fillId="0" borderId="12" xfId="13" applyNumberFormat="1" applyFont="1" applyFill="1" applyBorder="1" applyAlignment="1" applyProtection="1">
      <alignment vertical="center"/>
      <protection locked="0"/>
    </xf>
    <xf numFmtId="3" fontId="19" fillId="0" borderId="80" xfId="1" applyNumberFormat="1" applyFont="1" applyBorder="1" applyAlignment="1" applyProtection="1">
      <alignment vertical="center"/>
      <protection locked="0"/>
    </xf>
    <xf numFmtId="3" fontId="19" fillId="0" borderId="81" xfId="6" applyNumberFormat="1" applyFont="1" applyBorder="1" applyAlignment="1" applyProtection="1">
      <alignment vertical="center"/>
      <protection locked="0"/>
    </xf>
    <xf numFmtId="3" fontId="19" fillId="0" borderId="24" xfId="1" applyNumberFormat="1" applyFont="1" applyBorder="1" applyAlignment="1" applyProtection="1">
      <alignment vertical="center"/>
      <protection locked="0"/>
    </xf>
    <xf numFmtId="3" fontId="19" fillId="0" borderId="82" xfId="6" applyNumberFormat="1" applyFont="1" applyBorder="1" applyAlignment="1" applyProtection="1">
      <alignment vertical="center"/>
      <protection locked="0"/>
    </xf>
    <xf numFmtId="3" fontId="19" fillId="14" borderId="14" xfId="13" applyNumberFormat="1" applyFont="1" applyFill="1" applyBorder="1" applyAlignment="1" applyProtection="1">
      <alignment vertical="center"/>
    </xf>
    <xf numFmtId="3" fontId="19" fillId="14" borderId="55" xfId="13" applyNumberFormat="1" applyFont="1" applyFill="1" applyBorder="1" applyAlignment="1" applyProtection="1">
      <alignment vertical="center"/>
    </xf>
    <xf numFmtId="3" fontId="19" fillId="14" borderId="57" xfId="13" applyNumberFormat="1" applyFont="1" applyFill="1" applyBorder="1" applyAlignment="1" applyProtection="1">
      <alignment vertical="center"/>
    </xf>
    <xf numFmtId="3" fontId="19" fillId="0" borderId="83" xfId="1" applyNumberFormat="1" applyFont="1" applyBorder="1" applyAlignment="1" applyProtection="1">
      <alignment vertical="center"/>
      <protection locked="0"/>
    </xf>
    <xf numFmtId="3" fontId="19" fillId="0" borderId="84" xfId="6" applyNumberFormat="1" applyFont="1" applyBorder="1" applyAlignment="1" applyProtection="1">
      <alignment vertical="center"/>
      <protection locked="0"/>
    </xf>
    <xf numFmtId="3" fontId="19" fillId="0" borderId="85" xfId="1" applyNumberFormat="1" applyFont="1" applyBorder="1" applyAlignment="1" applyProtection="1">
      <alignment vertical="center"/>
      <protection locked="0"/>
    </xf>
    <xf numFmtId="3" fontId="19" fillId="0" borderId="86" xfId="6" applyNumberFormat="1" applyFont="1" applyBorder="1" applyAlignment="1" applyProtection="1">
      <alignment vertical="center"/>
      <protection locked="0"/>
    </xf>
    <xf numFmtId="4" fontId="19" fillId="18" borderId="24" xfId="6" applyNumberFormat="1" applyFont="1" applyFill="1" applyBorder="1" applyAlignment="1" applyProtection="1">
      <alignment vertical="center"/>
    </xf>
    <xf numFmtId="4" fontId="19" fillId="18" borderId="16" xfId="6" applyNumberFormat="1" applyFont="1" applyFill="1" applyBorder="1" applyAlignment="1" applyProtection="1">
      <alignment vertical="center"/>
    </xf>
    <xf numFmtId="4" fontId="19" fillId="18" borderId="18" xfId="6" applyNumberFormat="1" applyFont="1" applyFill="1" applyBorder="1" applyAlignment="1" applyProtection="1">
      <alignment vertical="center"/>
    </xf>
    <xf numFmtId="4" fontId="19" fillId="18" borderId="10" xfId="6" applyNumberFormat="1" applyFont="1" applyFill="1" applyBorder="1" applyAlignment="1" applyProtection="1">
      <alignment vertical="center"/>
    </xf>
    <xf numFmtId="3" fontId="19" fillId="0" borderId="14" xfId="0" applyNumberFormat="1" applyFont="1" applyBorder="1" applyAlignment="1" applyProtection="1">
      <alignment vertical="center"/>
      <protection locked="0"/>
    </xf>
    <xf numFmtId="3" fontId="19" fillId="16" borderId="21" xfId="0" applyNumberFormat="1" applyFont="1" applyFill="1" applyBorder="1" applyAlignment="1" applyProtection="1">
      <alignment vertical="center"/>
    </xf>
    <xf numFmtId="3" fontId="19" fillId="16" borderId="56" xfId="0" applyNumberFormat="1" applyFont="1" applyFill="1" applyBorder="1" applyAlignment="1" applyProtection="1">
      <alignment vertical="center"/>
    </xf>
    <xf numFmtId="3" fontId="19" fillId="0" borderId="56" xfId="6" applyNumberFormat="1" applyFont="1" applyBorder="1" applyAlignment="1" applyProtection="1">
      <alignment vertical="center"/>
      <protection locked="0"/>
    </xf>
    <xf numFmtId="3" fontId="19" fillId="16" borderId="56" xfId="6" applyNumberFormat="1" applyFont="1" applyFill="1" applyBorder="1" applyAlignment="1" applyProtection="1">
      <alignment vertical="center"/>
    </xf>
    <xf numFmtId="3" fontId="19" fillId="0" borderId="17" xfId="6" applyNumberFormat="1" applyFont="1" applyBorder="1" applyAlignment="1" applyProtection="1">
      <alignment vertical="center"/>
      <protection locked="0"/>
    </xf>
    <xf numFmtId="3" fontId="19" fillId="0" borderId="12" xfId="6" applyNumberFormat="1" applyFont="1" applyBorder="1" applyAlignment="1" applyProtection="1">
      <alignment vertical="center"/>
      <protection locked="0"/>
    </xf>
    <xf numFmtId="3" fontId="19" fillId="16" borderId="12" xfId="6" applyNumberFormat="1" applyFont="1" applyFill="1" applyBorder="1" applyAlignment="1" applyProtection="1">
      <alignment vertical="center"/>
    </xf>
    <xf numFmtId="3" fontId="19" fillId="16" borderId="10" xfId="6" applyNumberFormat="1" applyFont="1" applyFill="1" applyBorder="1" applyAlignment="1" applyProtection="1">
      <alignment vertical="center"/>
    </xf>
    <xf numFmtId="3" fontId="19" fillId="16" borderId="87" xfId="6" applyNumberFormat="1" applyFont="1" applyFill="1" applyBorder="1" applyAlignment="1" applyProtection="1">
      <alignment vertical="center"/>
    </xf>
    <xf numFmtId="3" fontId="19" fillId="5" borderId="12" xfId="6" applyNumberFormat="1" applyFont="1" applyFill="1" applyBorder="1" applyAlignment="1" applyProtection="1">
      <alignment vertical="center"/>
      <protection locked="0"/>
    </xf>
    <xf numFmtId="3" fontId="19" fillId="0" borderId="10" xfId="6" applyNumberFormat="1" applyFont="1" applyFill="1" applyBorder="1" applyAlignment="1" applyProtection="1">
      <alignment vertical="center"/>
      <protection locked="0"/>
    </xf>
    <xf numFmtId="3" fontId="19" fillId="0" borderId="56" xfId="6" applyNumberFormat="1" applyFont="1" applyFill="1" applyBorder="1" applyAlignment="1" applyProtection="1">
      <alignment vertical="center"/>
      <protection locked="0"/>
    </xf>
    <xf numFmtId="3" fontId="19" fillId="0" borderId="69" xfId="0" applyNumberFormat="1" applyFont="1" applyBorder="1" applyAlignment="1" applyProtection="1">
      <alignment vertical="center"/>
      <protection locked="0"/>
    </xf>
    <xf numFmtId="3" fontId="19" fillId="16" borderId="69" xfId="0" applyNumberFormat="1" applyFont="1" applyFill="1" applyBorder="1" applyAlignment="1" applyProtection="1">
      <alignment vertical="center"/>
    </xf>
    <xf numFmtId="3" fontId="34" fillId="0" borderId="56" xfId="0" applyNumberFormat="1" applyFont="1" applyBorder="1" applyAlignment="1" applyProtection="1">
      <alignment vertical="center"/>
      <protection locked="0"/>
    </xf>
    <xf numFmtId="3" fontId="34" fillId="16" borderId="56" xfId="0" applyNumberFormat="1" applyFont="1" applyFill="1" applyBorder="1" applyAlignment="1" applyProtection="1">
      <alignment vertical="center"/>
    </xf>
    <xf numFmtId="3" fontId="34" fillId="0" borderId="56" xfId="0" applyNumberFormat="1" applyFont="1" applyBorder="1" applyAlignment="1" applyProtection="1">
      <alignment horizontal="center" vertical="center"/>
      <protection locked="0"/>
    </xf>
    <xf numFmtId="3" fontId="34" fillId="0" borderId="10" xfId="0" applyNumberFormat="1" applyFont="1" applyBorder="1" applyAlignment="1" applyProtection="1">
      <alignment horizontal="center" vertical="center"/>
      <protection locked="0"/>
    </xf>
    <xf numFmtId="3" fontId="19" fillId="17" borderId="10" xfId="6" applyNumberFormat="1" applyFont="1" applyFill="1" applyBorder="1" applyAlignment="1" applyProtection="1">
      <alignment vertical="center"/>
    </xf>
    <xf numFmtId="3" fontId="19" fillId="0" borderId="10" xfId="0" applyNumberFormat="1" applyFont="1" applyFill="1" applyBorder="1" applyAlignment="1" applyProtection="1">
      <alignment vertical="center"/>
      <protection locked="0"/>
    </xf>
    <xf numFmtId="3" fontId="34" fillId="4" borderId="10" xfId="0" applyNumberFormat="1" applyFont="1" applyFill="1" applyBorder="1" applyAlignment="1" applyProtection="1">
      <alignment vertical="center"/>
    </xf>
    <xf numFmtId="3" fontId="19" fillId="13" borderId="55" xfId="13" applyNumberFormat="1" applyFont="1" applyFill="1" applyBorder="1" applyAlignment="1" applyProtection="1">
      <alignment vertical="center"/>
    </xf>
    <xf numFmtId="3" fontId="19" fillId="13" borderId="57" xfId="13" applyNumberFormat="1" applyFont="1" applyFill="1" applyBorder="1" applyAlignment="1" applyProtection="1">
      <alignment vertical="center"/>
    </xf>
    <xf numFmtId="169" fontId="19" fillId="4" borderId="47" xfId="13" applyNumberFormat="1" applyFont="1" applyFill="1" applyBorder="1" applyAlignment="1" applyProtection="1">
      <alignment vertical="center"/>
    </xf>
    <xf numFmtId="169" fontId="19" fillId="4" borderId="42" xfId="13" applyNumberFormat="1" applyFont="1" applyFill="1" applyBorder="1" applyAlignment="1" applyProtection="1">
      <alignment vertical="center"/>
    </xf>
    <xf numFmtId="3" fontId="19" fillId="10" borderId="44" xfId="13" applyNumberFormat="1" applyFont="1" applyFill="1" applyBorder="1" applyAlignment="1" applyProtection="1">
      <alignment vertical="center" wrapText="1"/>
      <protection locked="0"/>
    </xf>
    <xf numFmtId="3" fontId="19" fillId="10" borderId="22" xfId="13" applyNumberFormat="1" applyFont="1" applyFill="1" applyBorder="1" applyAlignment="1" applyProtection="1">
      <alignment vertical="center" wrapText="1"/>
      <protection locked="0"/>
    </xf>
    <xf numFmtId="3" fontId="19" fillId="0" borderId="22" xfId="13" applyNumberFormat="1" applyFont="1" applyFill="1" applyBorder="1" applyAlignment="1" applyProtection="1">
      <alignment vertical="center" wrapText="1"/>
      <protection locked="0"/>
    </xf>
    <xf numFmtId="3" fontId="19" fillId="19" borderId="62" xfId="13" applyNumberFormat="1" applyFont="1" applyFill="1" applyBorder="1" applyAlignment="1" applyProtection="1">
      <alignment vertical="center"/>
    </xf>
    <xf numFmtId="3" fontId="19" fillId="19" borderId="57" xfId="13" applyNumberFormat="1" applyFont="1" applyFill="1" applyBorder="1" applyAlignment="1" applyProtection="1">
      <alignment vertical="center"/>
    </xf>
    <xf numFmtId="169" fontId="19" fillId="19" borderId="47" xfId="13" applyNumberFormat="1" applyFont="1" applyFill="1" applyBorder="1" applyAlignment="1" applyProtection="1">
      <alignment vertical="center"/>
    </xf>
    <xf numFmtId="169" fontId="19" fillId="19" borderId="42" xfId="13" applyNumberFormat="1" applyFont="1" applyFill="1" applyBorder="1" applyAlignment="1" applyProtection="1">
      <alignment vertical="center"/>
    </xf>
    <xf numFmtId="3" fontId="19" fillId="16" borderId="18" xfId="0" applyNumberFormat="1" applyFont="1" applyFill="1" applyBorder="1" applyAlignment="1" applyProtection="1">
      <alignment vertical="center"/>
    </xf>
    <xf numFmtId="3" fontId="30" fillId="0" borderId="10" xfId="0" applyNumberFormat="1" applyFont="1" applyBorder="1" applyAlignment="1" applyProtection="1">
      <alignment vertical="center"/>
      <protection locked="0"/>
    </xf>
    <xf numFmtId="3" fontId="19" fillId="0" borderId="10" xfId="21" applyNumberFormat="1" applyFont="1" applyFill="1" applyBorder="1" applyAlignment="1" applyProtection="1">
      <alignment vertical="center"/>
      <protection locked="0"/>
    </xf>
    <xf numFmtId="3" fontId="19" fillId="0" borderId="14" xfId="21" applyNumberFormat="1" applyFont="1" applyFill="1" applyBorder="1" applyAlignment="1" applyProtection="1">
      <alignment vertical="center"/>
      <protection locked="0"/>
    </xf>
    <xf numFmtId="3" fontId="19" fillId="0" borderId="24" xfId="11" applyNumberFormat="1" applyFont="1" applyBorder="1" applyAlignment="1" applyProtection="1">
      <alignment vertical="center"/>
      <protection locked="0"/>
    </xf>
    <xf numFmtId="3" fontId="19" fillId="0" borderId="24" xfId="13" applyNumberFormat="1" applyFont="1" applyBorder="1" applyAlignment="1" applyProtection="1">
      <alignment vertical="center"/>
      <protection locked="0"/>
    </xf>
    <xf numFmtId="3" fontId="19" fillId="18" borderId="18" xfId="11" applyNumberFormat="1" applyFont="1" applyFill="1" applyBorder="1" applyAlignment="1" applyProtection="1">
      <alignment vertical="center"/>
    </xf>
    <xf numFmtId="0" fontId="34" fillId="0" borderId="24" xfId="6" applyFont="1" applyBorder="1" applyAlignment="1" applyProtection="1">
      <alignment horizontal="left" vertical="center" wrapText="1"/>
    </xf>
    <xf numFmtId="3" fontId="34" fillId="0" borderId="56" xfId="6" applyNumberFormat="1" applyFont="1" applyBorder="1" applyAlignment="1" applyProtection="1">
      <alignment horizontal="center" vertical="center" wrapText="1"/>
      <protection locked="0"/>
    </xf>
    <xf numFmtId="3" fontId="34" fillId="0" borderId="10" xfId="6" applyNumberFormat="1" applyFont="1" applyBorder="1" applyAlignment="1" applyProtection="1">
      <alignment horizontal="center" vertical="center"/>
      <protection locked="0"/>
    </xf>
    <xf numFmtId="3" fontId="19" fillId="0" borderId="18" xfId="13" applyNumberFormat="1" applyFont="1" applyBorder="1" applyAlignment="1" applyProtection="1">
      <alignment horizontal="center" vertical="center"/>
      <protection locked="0"/>
    </xf>
    <xf numFmtId="3" fontId="19" fillId="0" borderId="10" xfId="13" applyNumberFormat="1" applyFont="1" applyBorder="1" applyAlignment="1" applyProtection="1">
      <alignment horizontal="center" vertical="center"/>
      <protection locked="0"/>
    </xf>
    <xf numFmtId="3" fontId="19" fillId="0" borderId="10" xfId="13" applyNumberFormat="1" applyFont="1" applyBorder="1" applyAlignment="1" applyProtection="1">
      <alignment vertical="center"/>
      <protection locked="0"/>
    </xf>
    <xf numFmtId="3" fontId="19" fillId="0" borderId="10" xfId="13" applyNumberFormat="1" applyFont="1" applyBorder="1" applyAlignment="1" applyProtection="1">
      <alignment vertical="center" wrapText="1"/>
      <protection locked="0"/>
    </xf>
    <xf numFmtId="1" fontId="8" fillId="0" borderId="24" xfId="6" applyNumberFormat="1" applyFont="1" applyBorder="1" applyAlignment="1" applyProtection="1">
      <alignment horizontal="center" vertical="center"/>
      <protection locked="0"/>
    </xf>
    <xf numFmtId="3" fontId="19" fillId="18" borderId="10" xfId="6" applyNumberFormat="1" applyFont="1" applyFill="1" applyBorder="1" applyAlignment="1" applyProtection="1">
      <alignment vertical="center"/>
    </xf>
    <xf numFmtId="3" fontId="19" fillId="0" borderId="12" xfId="6" applyNumberFormat="1" applyFont="1" applyFill="1" applyBorder="1" applyAlignment="1" applyProtection="1">
      <alignment vertical="center"/>
      <protection locked="0"/>
    </xf>
    <xf numFmtId="3" fontId="19" fillId="0" borderId="18" xfId="6" applyNumberFormat="1" applyFont="1" applyFill="1" applyBorder="1" applyAlignment="1" applyProtection="1">
      <alignment vertical="center"/>
      <protection locked="0"/>
    </xf>
    <xf numFmtId="3" fontId="19" fillId="0" borderId="16" xfId="6" applyNumberFormat="1" applyFont="1" applyFill="1" applyBorder="1" applyAlignment="1" applyProtection="1">
      <alignment vertical="center"/>
      <protection locked="0"/>
    </xf>
    <xf numFmtId="3" fontId="19" fillId="0" borderId="14" xfId="6" applyNumberFormat="1" applyFont="1" applyFill="1" applyBorder="1" applyAlignment="1" applyProtection="1">
      <alignment vertical="center"/>
      <protection locked="0"/>
    </xf>
    <xf numFmtId="3" fontId="19" fillId="0" borderId="16" xfId="6" applyNumberFormat="1" applyFont="1" applyBorder="1" applyAlignment="1" applyProtection="1">
      <alignment vertical="center"/>
      <protection locked="0"/>
    </xf>
    <xf numFmtId="3" fontId="19" fillId="5" borderId="10" xfId="6" applyNumberFormat="1" applyFont="1" applyFill="1" applyBorder="1" applyAlignment="1" applyProtection="1">
      <alignment vertical="center"/>
      <protection locked="0"/>
    </xf>
    <xf numFmtId="3" fontId="19" fillId="0" borderId="10" xfId="0" applyNumberFormat="1" applyFont="1" applyBorder="1" applyAlignment="1" applyProtection="1">
      <alignment horizontal="center" vertical="center"/>
      <protection locked="0"/>
    </xf>
    <xf numFmtId="3" fontId="19" fillId="0" borderId="18" xfId="0" applyNumberFormat="1" applyFont="1" applyBorder="1" applyAlignment="1" applyProtection="1">
      <alignment horizontal="center" vertical="center"/>
      <protection locked="0"/>
    </xf>
    <xf numFmtId="3" fontId="19" fillId="0" borderId="14" xfId="0" applyNumberFormat="1" applyFont="1" applyBorder="1" applyAlignment="1" applyProtection="1">
      <alignment horizontal="center" vertical="center"/>
      <protection locked="0"/>
    </xf>
    <xf numFmtId="3" fontId="19" fillId="0" borderId="14" xfId="0" applyNumberFormat="1" applyFont="1" applyFill="1" applyBorder="1" applyAlignment="1" applyProtection="1">
      <alignment horizontal="center" vertical="center"/>
      <protection locked="0"/>
    </xf>
    <xf numFmtId="3" fontId="19" fillId="0" borderId="10" xfId="0" applyNumberFormat="1" applyFont="1" applyFill="1" applyBorder="1" applyAlignment="1" applyProtection="1">
      <alignment horizontal="center" vertical="center"/>
      <protection locked="0"/>
    </xf>
    <xf numFmtId="3" fontId="34" fillId="0" borderId="14" xfId="0" applyNumberFormat="1" applyFont="1" applyBorder="1" applyAlignment="1" applyProtection="1">
      <alignment vertical="center"/>
      <protection locked="0"/>
    </xf>
    <xf numFmtId="3" fontId="19" fillId="18" borderId="24" xfId="13" applyNumberFormat="1" applyFont="1" applyFill="1" applyBorder="1" applyAlignment="1" applyProtection="1">
      <alignment vertical="center"/>
    </xf>
    <xf numFmtId="3" fontId="19" fillId="0" borderId="10" xfId="11" applyNumberFormat="1" applyFont="1" applyBorder="1" applyAlignment="1" applyProtection="1">
      <alignment vertical="center"/>
      <protection locked="0"/>
    </xf>
    <xf numFmtId="4" fontId="16" fillId="17" borderId="10" xfId="0" applyNumberFormat="1" applyFont="1" applyFill="1" applyBorder="1" applyAlignment="1" applyProtection="1">
      <alignment vertical="center"/>
    </xf>
    <xf numFmtId="3" fontId="19" fillId="0" borderId="21" xfId="0" applyNumberFormat="1" applyFont="1" applyFill="1" applyBorder="1" applyAlignment="1" applyProtection="1">
      <alignment horizontal="center" vertical="center"/>
      <protection locked="0"/>
    </xf>
    <xf numFmtId="3" fontId="19" fillId="18" borderId="24" xfId="0" applyNumberFormat="1" applyFont="1" applyFill="1" applyBorder="1" applyAlignment="1" applyProtection="1">
      <alignment horizontal="center" vertical="center"/>
    </xf>
    <xf numFmtId="3" fontId="19" fillId="0" borderId="24" xfId="0" applyNumberFormat="1" applyFont="1" applyBorder="1" applyAlignment="1" applyProtection="1">
      <alignment horizontal="center" vertical="center"/>
      <protection locked="0"/>
    </xf>
    <xf numFmtId="3" fontId="19" fillId="0" borderId="24" xfId="13" applyNumberFormat="1" applyFont="1" applyFill="1" applyBorder="1" applyAlignment="1" applyProtection="1">
      <alignment vertical="center"/>
      <protection locked="0"/>
    </xf>
    <xf numFmtId="0" fontId="43" fillId="0" borderId="0" xfId="6" applyFont="1" applyBorder="1" applyAlignment="1" applyProtection="1">
      <alignment horizontal="center"/>
    </xf>
    <xf numFmtId="3" fontId="30" fillId="17" borderId="10" xfId="0" applyNumberFormat="1" applyFont="1" applyFill="1" applyBorder="1" applyAlignment="1" applyProtection="1">
      <alignment vertical="center"/>
    </xf>
    <xf numFmtId="3" fontId="30" fillId="0" borderId="18" xfId="0" applyNumberFormat="1" applyFont="1" applyBorder="1" applyAlignment="1" applyProtection="1">
      <alignment vertical="center"/>
      <protection locked="0"/>
    </xf>
    <xf numFmtId="0" fontId="16" fillId="0" borderId="17" xfId="0" applyFont="1" applyBorder="1" applyAlignment="1" applyProtection="1">
      <alignment horizontal="left" vertical="center"/>
    </xf>
    <xf numFmtId="0" fontId="19" fillId="20" borderId="24" xfId="6" applyNumberFormat="1" applyFont="1" applyFill="1" applyBorder="1" applyAlignment="1" applyProtection="1">
      <alignment horizontal="center" vertical="center"/>
      <protection locked="0"/>
    </xf>
    <xf numFmtId="0" fontId="16" fillId="0" borderId="9" xfId="0" applyFont="1" applyBorder="1" applyAlignment="1" applyProtection="1">
      <alignment horizontal="center"/>
    </xf>
    <xf numFmtId="0" fontId="31" fillId="0" borderId="10" xfId="0" applyFont="1" applyBorder="1" applyAlignment="1" applyProtection="1">
      <alignment horizontal="center" vertical="center" wrapText="1"/>
    </xf>
    <xf numFmtId="0" fontId="16" fillId="0" borderId="24" xfId="0" applyFont="1" applyBorder="1" applyAlignment="1" applyProtection="1">
      <alignment horizontal="center" vertical="center" wrapText="1"/>
    </xf>
    <xf numFmtId="0" fontId="31" fillId="0" borderId="24" xfId="0" applyFont="1" applyBorder="1" applyAlignment="1" applyProtection="1">
      <alignment horizontal="center" vertical="center" wrapText="1"/>
    </xf>
    <xf numFmtId="0" fontId="8" fillId="0" borderId="88" xfId="11" applyFont="1" applyBorder="1" applyAlignment="1" applyProtection="1">
      <alignment horizontal="center" vertical="center" wrapText="1"/>
    </xf>
    <xf numFmtId="0" fontId="19" fillId="17" borderId="89" xfId="6" applyFont="1" applyFill="1" applyBorder="1" applyProtection="1"/>
    <xf numFmtId="0" fontId="19" fillId="17" borderId="90" xfId="6" applyFont="1" applyFill="1" applyBorder="1" applyProtection="1"/>
    <xf numFmtId="0" fontId="19" fillId="0" borderId="90" xfId="6" applyFont="1" applyBorder="1" applyAlignment="1" applyProtection="1">
      <alignment horizontal="center" vertical="center"/>
    </xf>
    <xf numFmtId="0" fontId="19" fillId="0" borderId="91" xfId="6" applyFont="1" applyBorder="1" applyAlignment="1" applyProtection="1">
      <alignment horizontal="center" vertical="top" wrapText="1"/>
    </xf>
    <xf numFmtId="0" fontId="19" fillId="0" borderId="92" xfId="6" applyFont="1" applyBorder="1" applyAlignment="1" applyProtection="1">
      <alignment horizontal="center" vertical="top" wrapText="1"/>
    </xf>
    <xf numFmtId="0" fontId="19" fillId="17" borderId="93" xfId="6" applyFont="1" applyFill="1" applyBorder="1" applyProtection="1"/>
    <xf numFmtId="3" fontId="19" fillId="0" borderId="94" xfId="6" applyNumberFormat="1" applyFont="1" applyBorder="1" applyAlignment="1" applyProtection="1">
      <alignment horizontal="right" vertical="center"/>
      <protection locked="0"/>
    </xf>
    <xf numFmtId="3" fontId="19" fillId="0" borderId="95" xfId="6" applyNumberFormat="1" applyFont="1" applyBorder="1" applyAlignment="1" applyProtection="1">
      <alignment horizontal="right" vertical="center"/>
      <protection locked="0"/>
    </xf>
    <xf numFmtId="3" fontId="19" fillId="0" borderId="91" xfId="6" applyNumberFormat="1" applyFont="1" applyFill="1" applyBorder="1" applyAlignment="1" applyProtection="1">
      <alignment horizontal="right" vertical="center"/>
      <protection locked="0"/>
    </xf>
    <xf numFmtId="3" fontId="19" fillId="0" borderId="35" xfId="6" applyNumberFormat="1" applyFont="1" applyFill="1" applyBorder="1" applyAlignment="1" applyProtection="1">
      <alignment horizontal="right" vertical="center"/>
      <protection locked="0"/>
    </xf>
    <xf numFmtId="3" fontId="19" fillId="0" borderId="55" xfId="6" applyNumberFormat="1" applyFont="1" applyBorder="1" applyAlignment="1" applyProtection="1">
      <alignment horizontal="right" vertical="center" wrapText="1"/>
      <protection locked="0"/>
    </xf>
    <xf numFmtId="3" fontId="19" fillId="0" borderId="24" xfId="6" applyNumberFormat="1" applyFont="1" applyBorder="1" applyAlignment="1" applyProtection="1">
      <alignment horizontal="right" vertical="center"/>
      <protection locked="0"/>
    </xf>
    <xf numFmtId="3" fontId="19" fillId="0" borderId="96" xfId="6" applyNumberFormat="1" applyFont="1" applyBorder="1" applyAlignment="1" applyProtection="1">
      <alignment horizontal="right" vertical="center"/>
      <protection locked="0"/>
    </xf>
    <xf numFmtId="3" fontId="19" fillId="0" borderId="97" xfId="6" applyNumberFormat="1" applyFont="1" applyBorder="1" applyAlignment="1" applyProtection="1">
      <alignment horizontal="right" vertical="center"/>
      <protection locked="0"/>
    </xf>
    <xf numFmtId="3" fontId="19" fillId="0" borderId="64" xfId="6" applyNumberFormat="1" applyFont="1" applyBorder="1" applyAlignment="1" applyProtection="1">
      <alignment horizontal="right" vertical="center"/>
      <protection locked="0"/>
    </xf>
    <xf numFmtId="3" fontId="19" fillId="17" borderId="69" xfId="6" applyNumberFormat="1" applyFont="1" applyFill="1" applyBorder="1" applyAlignment="1" applyProtection="1">
      <alignment horizontal="left" vertical="center"/>
    </xf>
    <xf numFmtId="3" fontId="19" fillId="17" borderId="69" xfId="6" applyNumberFormat="1" applyFont="1" applyFill="1" applyBorder="1" applyAlignment="1" applyProtection="1">
      <alignment horizontal="right" vertical="center"/>
    </xf>
    <xf numFmtId="3" fontId="19" fillId="17" borderId="91" xfId="6" applyNumberFormat="1" applyFont="1" applyFill="1" applyBorder="1" applyAlignment="1" applyProtection="1">
      <alignment horizontal="right" vertical="center"/>
    </xf>
    <xf numFmtId="3" fontId="19" fillId="17" borderId="35" xfId="6" applyNumberFormat="1" applyFont="1" applyFill="1" applyBorder="1" applyAlignment="1" applyProtection="1">
      <alignment horizontal="right" vertical="center"/>
    </xf>
    <xf numFmtId="3" fontId="19" fillId="17" borderId="94" xfId="6" applyNumberFormat="1" applyFont="1" applyFill="1" applyBorder="1" applyAlignment="1" applyProtection="1">
      <alignment horizontal="right" vertical="center"/>
    </xf>
    <xf numFmtId="3" fontId="19" fillId="17" borderId="95" xfId="6" applyNumberFormat="1" applyFont="1" applyFill="1" applyBorder="1" applyAlignment="1" applyProtection="1">
      <alignment horizontal="right" vertical="center"/>
    </xf>
    <xf numFmtId="3" fontId="19" fillId="5" borderId="69" xfId="6" applyNumberFormat="1" applyFont="1" applyFill="1" applyBorder="1" applyAlignment="1" applyProtection="1">
      <alignment horizontal="right" vertical="center"/>
      <protection locked="0"/>
    </xf>
    <xf numFmtId="3" fontId="19" fillId="5" borderId="98" xfId="6" applyNumberFormat="1" applyFont="1" applyFill="1" applyBorder="1" applyAlignment="1" applyProtection="1">
      <alignment horizontal="right" vertical="center"/>
      <protection locked="0"/>
    </xf>
    <xf numFmtId="3" fontId="19" fillId="5" borderId="99" xfId="6" applyNumberFormat="1" applyFont="1" applyFill="1" applyBorder="1" applyAlignment="1" applyProtection="1">
      <alignment horizontal="right" vertical="center"/>
      <protection locked="0"/>
    </xf>
    <xf numFmtId="3" fontId="19" fillId="5" borderId="100" xfId="6" applyNumberFormat="1" applyFont="1" applyFill="1" applyBorder="1" applyAlignment="1" applyProtection="1">
      <alignment horizontal="right" vertical="center"/>
      <protection locked="0"/>
    </xf>
    <xf numFmtId="3" fontId="19" fillId="5" borderId="87" xfId="6" applyNumberFormat="1" applyFont="1" applyFill="1" applyBorder="1" applyAlignment="1" applyProtection="1">
      <alignment horizontal="right" vertical="center"/>
      <protection locked="0"/>
    </xf>
    <xf numFmtId="3" fontId="19" fillId="5" borderId="101" xfId="6" applyNumberFormat="1" applyFont="1" applyFill="1" applyBorder="1" applyAlignment="1" applyProtection="1">
      <alignment horizontal="right" vertical="center"/>
      <protection locked="0"/>
    </xf>
    <xf numFmtId="3" fontId="19" fillId="0" borderId="102" xfId="6" applyNumberFormat="1" applyFont="1" applyBorder="1" applyAlignment="1" applyProtection="1">
      <alignment horizontal="right" vertical="center"/>
      <protection locked="0"/>
    </xf>
    <xf numFmtId="3" fontId="19" fillId="0" borderId="87" xfId="6" applyNumberFormat="1" applyFont="1" applyBorder="1" applyAlignment="1" applyProtection="1">
      <alignment horizontal="right" vertical="center"/>
      <protection locked="0"/>
    </xf>
    <xf numFmtId="3" fontId="19" fillId="0" borderId="69" xfId="6" applyNumberFormat="1" applyFont="1" applyBorder="1" applyAlignment="1" applyProtection="1">
      <alignment horizontal="right" vertical="center"/>
      <protection locked="0"/>
    </xf>
    <xf numFmtId="3" fontId="19" fillId="5" borderId="91" xfId="6" applyNumberFormat="1" applyFont="1" applyFill="1" applyBorder="1" applyAlignment="1" applyProtection="1">
      <alignment horizontal="right" vertical="center"/>
      <protection locked="0"/>
    </xf>
    <xf numFmtId="3" fontId="19" fillId="5" borderId="35" xfId="6" applyNumberFormat="1" applyFont="1" applyFill="1" applyBorder="1" applyAlignment="1" applyProtection="1">
      <alignment horizontal="right" vertical="center"/>
      <protection locked="0"/>
    </xf>
    <xf numFmtId="3" fontId="19" fillId="0" borderId="91" xfId="6" applyNumberFormat="1" applyFont="1" applyBorder="1" applyAlignment="1" applyProtection="1">
      <alignment horizontal="right" vertical="center"/>
      <protection locked="0"/>
    </xf>
    <xf numFmtId="3" fontId="19" fillId="0" borderId="35" xfId="6" applyNumberFormat="1" applyFont="1" applyBorder="1" applyAlignment="1" applyProtection="1">
      <alignment horizontal="right" vertical="center"/>
      <protection locked="0"/>
    </xf>
    <xf numFmtId="3" fontId="19" fillId="17" borderId="68" xfId="6" applyNumberFormat="1" applyFont="1" applyFill="1" applyBorder="1" applyAlignment="1" applyProtection="1">
      <alignment horizontal="right" vertical="center"/>
    </xf>
    <xf numFmtId="3" fontId="19" fillId="17" borderId="103" xfId="6" applyNumberFormat="1" applyFont="1" applyFill="1" applyBorder="1" applyAlignment="1" applyProtection="1">
      <alignment horizontal="right" vertical="center"/>
    </xf>
    <xf numFmtId="3" fontId="19" fillId="17" borderId="104" xfId="6" applyNumberFormat="1" applyFont="1" applyFill="1" applyBorder="1" applyAlignment="1" applyProtection="1">
      <alignment horizontal="right" vertical="center"/>
    </xf>
    <xf numFmtId="3" fontId="19" fillId="17" borderId="105" xfId="6" applyNumberFormat="1" applyFont="1" applyFill="1" applyBorder="1" applyAlignment="1" applyProtection="1">
      <alignment horizontal="right" vertical="center"/>
    </xf>
    <xf numFmtId="3" fontId="19" fillId="17" borderId="106" xfId="6" applyNumberFormat="1" applyFont="1" applyFill="1" applyBorder="1" applyAlignment="1" applyProtection="1">
      <alignment horizontal="right" vertical="center"/>
    </xf>
    <xf numFmtId="3" fontId="19" fillId="0" borderId="98" xfId="6" applyNumberFormat="1" applyFont="1" applyBorder="1" applyAlignment="1" applyProtection="1">
      <alignment horizontal="right" vertical="center"/>
      <protection locked="0"/>
    </xf>
    <xf numFmtId="3" fontId="19" fillId="0" borderId="99" xfId="6" applyNumberFormat="1" applyFont="1" applyBorder="1" applyAlignment="1" applyProtection="1">
      <alignment horizontal="right" vertical="center"/>
      <protection locked="0"/>
    </xf>
    <xf numFmtId="3" fontId="19" fillId="0" borderId="100" xfId="6" applyNumberFormat="1" applyFont="1" applyBorder="1" applyAlignment="1" applyProtection="1">
      <alignment horizontal="right" vertical="center"/>
      <protection locked="0"/>
    </xf>
    <xf numFmtId="3" fontId="19" fillId="0" borderId="101" xfId="6" applyNumberFormat="1" applyFont="1" applyBorder="1" applyAlignment="1" applyProtection="1">
      <alignment horizontal="right" vertical="center"/>
      <protection locked="0"/>
    </xf>
    <xf numFmtId="3" fontId="19" fillId="17" borderId="37" xfId="6" applyNumberFormat="1" applyFont="1" applyFill="1" applyBorder="1" applyAlignment="1" applyProtection="1">
      <alignment horizontal="right" vertical="center"/>
    </xf>
    <xf numFmtId="3" fontId="19" fillId="17" borderId="107" xfId="6" applyNumberFormat="1" applyFont="1" applyFill="1" applyBorder="1" applyAlignment="1" applyProtection="1">
      <alignment horizontal="right" vertical="center"/>
    </xf>
    <xf numFmtId="3" fontId="19" fillId="17" borderId="24" xfId="6" applyNumberFormat="1" applyFont="1" applyFill="1" applyBorder="1" applyAlignment="1" applyProtection="1">
      <alignment horizontal="right" vertical="center"/>
    </xf>
    <xf numFmtId="3" fontId="19" fillId="0" borderId="104" xfId="6" applyNumberFormat="1" applyFont="1" applyBorder="1" applyAlignment="1" applyProtection="1">
      <alignment horizontal="right" vertical="center"/>
      <protection locked="0"/>
    </xf>
    <xf numFmtId="3" fontId="19" fillId="0" borderId="103" xfId="6" applyNumberFormat="1" applyFont="1" applyBorder="1" applyAlignment="1" applyProtection="1">
      <alignment horizontal="right" vertical="center"/>
      <protection locked="0"/>
    </xf>
    <xf numFmtId="3" fontId="19" fillId="0" borderId="108" xfId="6" applyNumberFormat="1" applyFont="1" applyBorder="1" applyAlignment="1" applyProtection="1">
      <alignment horizontal="right" vertical="center"/>
      <protection locked="0"/>
    </xf>
    <xf numFmtId="3" fontId="19" fillId="0" borderId="37" xfId="6" applyNumberFormat="1" applyFont="1" applyBorder="1" applyAlignment="1" applyProtection="1">
      <alignment horizontal="right" vertical="center"/>
      <protection locked="0"/>
    </xf>
    <xf numFmtId="3" fontId="19" fillId="0" borderId="109" xfId="6" applyNumberFormat="1" applyFont="1" applyBorder="1" applyAlignment="1" applyProtection="1">
      <alignment horizontal="right" vertical="center"/>
      <protection locked="0"/>
    </xf>
    <xf numFmtId="3" fontId="19" fillId="0" borderId="110" xfId="6" applyNumberFormat="1" applyFont="1" applyBorder="1" applyAlignment="1" applyProtection="1">
      <alignment horizontal="right" vertical="center"/>
      <protection locked="0"/>
    </xf>
    <xf numFmtId="3" fontId="19" fillId="0" borderId="94" xfId="6" applyNumberFormat="1" applyFont="1" applyFill="1" applyBorder="1" applyAlignment="1" applyProtection="1">
      <alignment horizontal="right" vertical="center"/>
      <protection locked="0"/>
    </xf>
    <xf numFmtId="3" fontId="19" fillId="0" borderId="95" xfId="6" applyNumberFormat="1" applyFont="1" applyFill="1" applyBorder="1" applyAlignment="1" applyProtection="1">
      <alignment horizontal="right" vertical="center"/>
      <protection locked="0"/>
    </xf>
    <xf numFmtId="0" fontId="19" fillId="0" borderId="111" xfId="6" applyFont="1" applyBorder="1" applyAlignment="1" applyProtection="1">
      <alignment horizontal="center" vertical="center" wrapText="1"/>
    </xf>
    <xf numFmtId="0" fontId="19" fillId="0" borderId="85" xfId="6" applyFont="1" applyBorder="1" applyAlignment="1" applyProtection="1">
      <alignment horizontal="center" vertical="center" wrapText="1"/>
    </xf>
    <xf numFmtId="3" fontId="19" fillId="12" borderId="18" xfId="6" applyNumberFormat="1" applyFont="1" applyFill="1" applyBorder="1" applyAlignment="1" applyProtection="1">
      <alignment vertical="center" wrapText="1"/>
      <protection locked="0"/>
    </xf>
    <xf numFmtId="3" fontId="19" fillId="12" borderId="18" xfId="6" applyNumberFormat="1" applyFont="1" applyFill="1" applyBorder="1" applyAlignment="1" applyProtection="1">
      <alignment vertical="center"/>
      <protection locked="0"/>
    </xf>
    <xf numFmtId="49" fontId="42" fillId="0" borderId="99" xfId="13" applyNumberFormat="1" applyFont="1" applyFill="1" applyBorder="1" applyProtection="1"/>
    <xf numFmtId="0" fontId="16" fillId="0" borderId="24" xfId="2" applyNumberFormat="1" applyFont="1" applyFill="1" applyBorder="1" applyAlignment="1" applyProtection="1">
      <alignment horizontal="center" vertical="center" wrapText="1"/>
    </xf>
    <xf numFmtId="3" fontId="60" fillId="0" borderId="24" xfId="13" applyNumberFormat="1" applyFont="1" applyFill="1" applyBorder="1" applyAlignment="1" applyProtection="1">
      <alignment horizontal="center" vertical="center"/>
      <protection locked="0"/>
    </xf>
    <xf numFmtId="0" fontId="19" fillId="0" borderId="10" xfId="0" applyFont="1" applyFill="1" applyBorder="1" applyAlignment="1" applyProtection="1">
      <alignment horizontal="center" vertical="center" wrapText="1"/>
    </xf>
    <xf numFmtId="49" fontId="19" fillId="0" borderId="12" xfId="0" applyNumberFormat="1" applyFont="1" applyFill="1" applyBorder="1" applyAlignment="1" applyProtection="1"/>
    <xf numFmtId="49" fontId="19" fillId="0" borderId="56" xfId="0" applyNumberFormat="1" applyFont="1" applyFill="1" applyBorder="1" applyAlignment="1" applyProtection="1"/>
    <xf numFmtId="3" fontId="19" fillId="0" borderId="18" xfId="0" applyNumberFormat="1" applyFont="1" applyFill="1" applyBorder="1" applyAlignment="1" applyProtection="1">
      <alignment vertical="center"/>
      <protection locked="0"/>
    </xf>
    <xf numFmtId="49" fontId="16" fillId="0" borderId="56" xfId="0" applyNumberFormat="1" applyFont="1" applyFill="1" applyBorder="1" applyAlignment="1" applyProtection="1"/>
    <xf numFmtId="49" fontId="30" fillId="0" borderId="56" xfId="0" applyNumberFormat="1" applyFont="1" applyFill="1" applyBorder="1" applyAlignment="1" applyProtection="1"/>
    <xf numFmtId="0" fontId="16" fillId="0" borderId="12" xfId="0" applyFont="1" applyFill="1" applyBorder="1" applyAlignment="1" applyProtection="1"/>
    <xf numFmtId="0" fontId="16" fillId="0" borderId="56" xfId="0" applyFont="1" applyFill="1" applyBorder="1" applyAlignment="1" applyProtection="1"/>
    <xf numFmtId="0" fontId="19" fillId="0" borderId="10" xfId="0" applyFont="1" applyFill="1" applyBorder="1" applyAlignment="1" applyProtection="1">
      <alignment horizontal="center" vertical="center"/>
    </xf>
    <xf numFmtId="0" fontId="19" fillId="0" borderId="12" xfId="0" applyFont="1" applyFill="1" applyBorder="1" applyAlignment="1" applyProtection="1">
      <alignment vertical="center" wrapText="1"/>
    </xf>
    <xf numFmtId="0" fontId="8" fillId="0" borderId="24" xfId="11" applyFont="1" applyBorder="1" applyAlignment="1" applyProtection="1">
      <alignment horizontal="center" vertical="center" wrapText="1"/>
    </xf>
    <xf numFmtId="0" fontId="19" fillId="12" borderId="18" xfId="6" applyFont="1" applyFill="1" applyBorder="1" applyAlignment="1" applyProtection="1">
      <alignment vertical="center" wrapText="1"/>
    </xf>
    <xf numFmtId="0" fontId="34" fillId="21" borderId="85" xfId="0" applyFont="1" applyFill="1" applyBorder="1" applyAlignment="1" applyProtection="1">
      <alignment horizontal="center" vertical="center"/>
      <protection locked="0"/>
    </xf>
    <xf numFmtId="0" fontId="19" fillId="0" borderId="55" xfId="11" applyFont="1" applyFill="1" applyBorder="1" applyAlignment="1" applyProtection="1">
      <alignment vertical="center" wrapText="1"/>
    </xf>
    <xf numFmtId="3" fontId="19" fillId="0" borderId="14" xfId="11" applyNumberFormat="1" applyFont="1" applyBorder="1" applyAlignment="1" applyProtection="1">
      <alignment vertical="center"/>
      <protection locked="0"/>
    </xf>
    <xf numFmtId="3" fontId="19" fillId="18" borderId="14" xfId="11" applyNumberFormat="1" applyFont="1" applyFill="1" applyBorder="1" applyAlignment="1" applyProtection="1">
      <alignment vertical="center"/>
    </xf>
    <xf numFmtId="0" fontId="19" fillId="0" borderId="56" xfId="0" applyFont="1" applyBorder="1" applyAlignment="1" applyProtection="1">
      <alignment vertical="center" wrapText="1"/>
    </xf>
    <xf numFmtId="0" fontId="19" fillId="0" borderId="21" xfId="0" applyFont="1" applyBorder="1" applyAlignment="1" applyProtection="1">
      <alignment vertical="center" wrapText="1"/>
    </xf>
    <xf numFmtId="0" fontId="19" fillId="0" borderId="21" xfId="0" applyFont="1" applyBorder="1" applyAlignment="1" applyProtection="1">
      <alignment horizontal="left" vertical="center" wrapText="1"/>
    </xf>
    <xf numFmtId="0" fontId="19" fillId="0" borderId="28" xfId="0" applyFont="1" applyBorder="1" applyAlignment="1" applyProtection="1">
      <alignment vertical="center" wrapText="1"/>
    </xf>
    <xf numFmtId="3" fontId="19" fillId="0" borderId="56" xfId="0" applyNumberFormat="1" applyFont="1" applyBorder="1" applyAlignment="1" applyProtection="1">
      <alignment horizontal="center" vertical="center"/>
      <protection locked="0"/>
    </xf>
    <xf numFmtId="3" fontId="19" fillId="12" borderId="68" xfId="6" applyNumberFormat="1" applyFont="1" applyFill="1" applyBorder="1" applyAlignment="1" applyProtection="1">
      <alignment vertical="center" wrapText="1"/>
      <protection locked="0"/>
    </xf>
    <xf numFmtId="3" fontId="19" fillId="12" borderId="68" xfId="6" applyNumberFormat="1" applyFont="1" applyFill="1" applyBorder="1" applyAlignment="1" applyProtection="1">
      <alignment vertical="center"/>
      <protection locked="0"/>
    </xf>
    <xf numFmtId="3" fontId="0" fillId="18" borderId="10" xfId="0" applyNumberFormat="1" applyFont="1" applyFill="1" applyBorder="1" applyAlignment="1" applyProtection="1">
      <alignment horizontal="center" vertical="center"/>
    </xf>
    <xf numFmtId="3" fontId="0" fillId="0" borderId="10" xfId="0" applyNumberFormat="1" applyFont="1" applyBorder="1" applyAlignment="1" applyProtection="1">
      <alignment horizontal="center" vertical="center"/>
      <protection locked="0"/>
    </xf>
    <xf numFmtId="3" fontId="30" fillId="12" borderId="10" xfId="0" applyNumberFormat="1" applyFont="1" applyFill="1" applyBorder="1" applyAlignment="1" applyProtection="1">
      <alignment vertical="center"/>
      <protection locked="0"/>
    </xf>
    <xf numFmtId="0" fontId="19" fillId="0" borderId="55" xfId="0" applyFont="1" applyFill="1" applyBorder="1" applyAlignment="1" applyProtection="1">
      <alignment vertical="center" wrapText="1"/>
    </xf>
    <xf numFmtId="0" fontId="19" fillId="0" borderId="27" xfId="0" applyFont="1" applyFill="1" applyBorder="1" applyAlignment="1" applyProtection="1">
      <alignment vertical="center" wrapText="1"/>
    </xf>
    <xf numFmtId="0" fontId="16" fillId="0" borderId="24" xfId="0" applyFont="1" applyBorder="1" applyAlignment="1" applyProtection="1">
      <alignment horizontal="center"/>
    </xf>
    <xf numFmtId="3" fontId="19" fillId="0" borderId="16" xfId="0" applyNumberFormat="1" applyFont="1" applyFill="1" applyBorder="1" applyAlignment="1" applyProtection="1">
      <alignment horizontal="center" vertical="center"/>
      <protection locked="0"/>
    </xf>
    <xf numFmtId="4" fontId="34" fillId="0" borderId="10" xfId="11" applyNumberFormat="1" applyFont="1" applyFill="1" applyBorder="1" applyAlignment="1" applyProtection="1">
      <alignment vertical="center"/>
      <protection locked="0"/>
    </xf>
    <xf numFmtId="3" fontId="17" fillId="0" borderId="18" xfId="11" applyNumberFormat="1" applyFont="1" applyBorder="1" applyAlignment="1" applyProtection="1">
      <alignment horizontal="center" vertical="center"/>
    </xf>
    <xf numFmtId="3" fontId="17" fillId="0" borderId="17" xfId="11" applyNumberFormat="1" applyFont="1" applyBorder="1" applyAlignment="1" applyProtection="1">
      <alignment vertical="center"/>
    </xf>
    <xf numFmtId="0" fontId="19" fillId="0" borderId="64" xfId="11" applyFont="1" applyFill="1" applyBorder="1" applyAlignment="1" applyProtection="1">
      <alignment horizontal="center" vertical="center" wrapText="1"/>
    </xf>
    <xf numFmtId="3" fontId="17" fillId="0" borderId="64" xfId="11" applyNumberFormat="1" applyFont="1" applyBorder="1" applyAlignment="1" applyProtection="1">
      <alignment vertical="center"/>
    </xf>
    <xf numFmtId="0" fontId="17" fillId="0" borderId="12" xfId="11" applyFont="1" applyBorder="1" applyAlignment="1" applyProtection="1">
      <alignment horizontal="left" vertical="center"/>
    </xf>
    <xf numFmtId="3" fontId="17" fillId="0" borderId="12" xfId="11" applyNumberFormat="1" applyFont="1" applyBorder="1" applyAlignment="1" applyProtection="1">
      <alignment vertical="center"/>
    </xf>
    <xf numFmtId="0" fontId="17" fillId="0" borderId="12" xfId="11" applyFont="1" applyBorder="1" applyAlignment="1" applyProtection="1">
      <alignment vertical="center"/>
    </xf>
    <xf numFmtId="0" fontId="17" fillId="0" borderId="12" xfId="11" applyFont="1" applyBorder="1" applyAlignment="1" applyProtection="1">
      <alignment vertical="center" wrapText="1"/>
    </xf>
    <xf numFmtId="3" fontId="16" fillId="18" borderId="17" xfId="11" applyNumberFormat="1" applyFont="1" applyFill="1" applyBorder="1" applyAlignment="1" applyProtection="1">
      <alignment horizontal="left" vertical="center"/>
    </xf>
    <xf numFmtId="3" fontId="19" fillId="18" borderId="24" xfId="11" applyNumberFormat="1" applyFont="1" applyFill="1" applyBorder="1" applyAlignment="1" applyProtection="1">
      <alignment vertical="center"/>
    </xf>
    <xf numFmtId="3" fontId="34" fillId="0" borderId="24" xfId="0" applyNumberFormat="1" applyFont="1" applyBorder="1" applyAlignment="1" applyProtection="1">
      <alignment horizontal="center" vertical="center"/>
      <protection locked="0"/>
    </xf>
    <xf numFmtId="0" fontId="0" fillId="12" borderId="0" xfId="0" applyFill="1" applyProtection="1"/>
    <xf numFmtId="0" fontId="19" fillId="12" borderId="24" xfId="13" applyFont="1" applyFill="1" applyBorder="1" applyAlignment="1" applyProtection="1">
      <alignment horizontal="center" vertical="center"/>
    </xf>
    <xf numFmtId="0" fontId="19" fillId="12" borderId="24" xfId="13" applyFont="1" applyFill="1" applyBorder="1" applyProtection="1"/>
    <xf numFmtId="3" fontId="19" fillId="12" borderId="24" xfId="13" applyNumberFormat="1" applyFont="1" applyFill="1" applyBorder="1" applyAlignment="1" applyProtection="1">
      <alignment vertical="center"/>
      <protection locked="0"/>
    </xf>
    <xf numFmtId="0" fontId="19" fillId="0" borderId="27" xfId="6" applyFont="1" applyFill="1" applyBorder="1" applyAlignment="1" applyProtection="1">
      <alignment horizontal="center" vertical="center" wrapText="1"/>
    </xf>
    <xf numFmtId="0" fontId="19" fillId="0" borderId="90" xfId="6" applyFont="1" applyFill="1" applyBorder="1" applyAlignment="1" applyProtection="1">
      <alignment horizontal="center" vertical="center" wrapText="1"/>
    </xf>
    <xf numFmtId="0" fontId="19" fillId="0" borderId="112" xfId="6" applyFont="1" applyFill="1" applyBorder="1" applyAlignment="1" applyProtection="1">
      <alignment horizontal="center" vertical="center" wrapText="1"/>
    </xf>
    <xf numFmtId="0" fontId="19" fillId="12" borderId="0" xfId="11" applyFont="1" applyFill="1" applyBorder="1" applyAlignment="1" applyProtection="1">
      <alignment vertical="center"/>
    </xf>
    <xf numFmtId="0" fontId="19" fillId="12" borderId="24" xfId="11" applyFont="1" applyFill="1" applyBorder="1" applyAlignment="1" applyProtection="1">
      <alignment vertical="center"/>
    </xf>
    <xf numFmtId="3" fontId="17" fillId="12" borderId="17" xfId="11" applyNumberFormat="1" applyFont="1" applyFill="1" applyBorder="1" applyAlignment="1" applyProtection="1">
      <alignment vertical="center"/>
    </xf>
    <xf numFmtId="0" fontId="19" fillId="12" borderId="64" xfId="11" applyFont="1" applyFill="1" applyBorder="1" applyAlignment="1" applyProtection="1">
      <alignment horizontal="center" vertical="center" wrapText="1"/>
    </xf>
    <xf numFmtId="3" fontId="17" fillId="12" borderId="64" xfId="11" applyNumberFormat="1" applyFont="1" applyFill="1" applyBorder="1" applyAlignment="1" applyProtection="1">
      <alignment vertical="center"/>
    </xf>
    <xf numFmtId="0" fontId="17" fillId="12" borderId="12" xfId="11" applyFont="1" applyFill="1" applyBorder="1" applyAlignment="1" applyProtection="1">
      <alignment horizontal="left" vertical="center"/>
    </xf>
    <xf numFmtId="3" fontId="17" fillId="12" borderId="12" xfId="11" applyNumberFormat="1" applyFont="1" applyFill="1" applyBorder="1" applyAlignment="1" applyProtection="1">
      <alignment vertical="center"/>
    </xf>
    <xf numFmtId="0" fontId="17" fillId="12" borderId="12" xfId="11" applyFont="1" applyFill="1" applyBorder="1" applyAlignment="1" applyProtection="1">
      <alignment vertical="center"/>
    </xf>
    <xf numFmtId="0" fontId="17" fillId="12" borderId="12" xfId="11" applyFont="1" applyFill="1" applyBorder="1" applyAlignment="1" applyProtection="1">
      <alignment vertical="center" wrapText="1"/>
    </xf>
    <xf numFmtId="0" fontId="16" fillId="0" borderId="24" xfId="6" applyFont="1" applyBorder="1" applyAlignment="1" applyProtection="1">
      <alignment horizontal="center"/>
    </xf>
    <xf numFmtId="0" fontId="21" fillId="0" borderId="0" xfId="0" applyFont="1" applyBorder="1" applyAlignment="1" applyProtection="1">
      <alignment horizontal="justify" wrapText="1"/>
    </xf>
    <xf numFmtId="0" fontId="34" fillId="0" borderId="0" xfId="0" applyFont="1" applyAlignment="1" applyProtection="1"/>
    <xf numFmtId="0" fontId="34" fillId="0" borderId="0" xfId="11" applyFont="1" applyAlignment="1" applyProtection="1">
      <alignment horizontal="justify" vertical="center" wrapText="1"/>
    </xf>
    <xf numFmtId="0" fontId="21" fillId="0" borderId="0" xfId="11" applyFont="1" applyBorder="1" applyAlignment="1" applyProtection="1">
      <alignment horizontal="justify" vertical="center" wrapText="1"/>
    </xf>
    <xf numFmtId="0" fontId="19" fillId="0" borderId="24" xfId="6" applyFont="1" applyBorder="1" applyAlignment="1" applyProtection="1">
      <alignment horizontal="center" vertical="center" wrapText="1"/>
    </xf>
    <xf numFmtId="0" fontId="0" fillId="0" borderId="0" xfId="0" applyAlignment="1" applyProtection="1">
      <alignment horizontal="justify" vertical="center"/>
    </xf>
    <xf numFmtId="0" fontId="34" fillId="0" borderId="0" xfId="0" applyFont="1" applyAlignment="1" applyProtection="1">
      <alignment wrapText="1"/>
    </xf>
    <xf numFmtId="0" fontId="34" fillId="0" borderId="0" xfId="11" applyFont="1" applyBorder="1" applyAlignment="1" applyProtection="1">
      <alignment horizontal="justify" vertical="center" wrapText="1"/>
    </xf>
    <xf numFmtId="0" fontId="19" fillId="0" borderId="24" xfId="6" applyFont="1" applyFill="1" applyBorder="1" applyAlignment="1" applyProtection="1">
      <alignment horizontal="center" vertical="center" wrapText="1"/>
    </xf>
    <xf numFmtId="0" fontId="74" fillId="0" borderId="0" xfId="0" applyFont="1" applyProtection="1"/>
    <xf numFmtId="0" fontId="16" fillId="0" borderId="10" xfId="0" applyFont="1" applyFill="1" applyBorder="1" applyAlignment="1" applyProtection="1">
      <alignment horizontal="center" vertical="center" wrapText="1"/>
    </xf>
    <xf numFmtId="0" fontId="66" fillId="0" borderId="0" xfId="11" applyFont="1" applyBorder="1" applyAlignment="1" applyProtection="1">
      <alignment horizontal="left" wrapText="1"/>
    </xf>
    <xf numFmtId="0" fontId="66" fillId="0" borderId="0" xfId="11" applyFont="1" applyBorder="1" applyAlignment="1" applyProtection="1">
      <alignment horizontal="left" vertical="top" wrapText="1" indent="2"/>
    </xf>
    <xf numFmtId="0" fontId="30" fillId="0" borderId="10" xfId="0" applyFont="1" applyBorder="1" applyAlignment="1" applyProtection="1">
      <alignment vertical="center" wrapText="1"/>
    </xf>
    <xf numFmtId="0" fontId="30" fillId="0" borderId="18" xfId="0" applyFont="1" applyBorder="1" applyAlignment="1" applyProtection="1">
      <alignment horizontal="left" vertical="center" wrapText="1" indent="2"/>
    </xf>
    <xf numFmtId="0" fontId="30" fillId="0" borderId="12" xfId="0" applyFont="1" applyBorder="1" applyAlignment="1" applyProtection="1">
      <alignment horizontal="left" vertical="center" indent="2"/>
    </xf>
    <xf numFmtId="0" fontId="30" fillId="0" borderId="17" xfId="0" applyFont="1" applyBorder="1" applyAlignment="1" applyProtection="1">
      <alignment horizontal="left" vertical="center" indent="2"/>
    </xf>
    <xf numFmtId="3" fontId="19" fillId="0" borderId="114" xfId="6" applyNumberFormat="1" applyFont="1" applyFill="1" applyBorder="1" applyAlignment="1" applyProtection="1">
      <alignment vertical="center"/>
      <protection locked="0"/>
    </xf>
    <xf numFmtId="3" fontId="19" fillId="0" borderId="27" xfId="6" applyNumberFormat="1" applyFont="1" applyFill="1" applyBorder="1" applyAlignment="1" applyProtection="1">
      <alignment vertical="center"/>
      <protection locked="0"/>
    </xf>
    <xf numFmtId="3" fontId="19" fillId="18" borderId="115" xfId="6" applyNumberFormat="1" applyFont="1" applyFill="1" applyBorder="1" applyAlignment="1" applyProtection="1">
      <alignment vertical="center"/>
    </xf>
    <xf numFmtId="3" fontId="19" fillId="18" borderId="116" xfId="6" applyNumberFormat="1" applyFont="1" applyFill="1" applyBorder="1" applyAlignment="1" applyProtection="1">
      <alignment vertical="center"/>
    </xf>
    <xf numFmtId="3" fontId="19" fillId="18" borderId="114" xfId="6" applyNumberFormat="1" applyFont="1" applyFill="1" applyBorder="1" applyAlignment="1" applyProtection="1">
      <alignment vertical="center"/>
    </xf>
    <xf numFmtId="3" fontId="19" fillId="0" borderId="24" xfId="6" applyNumberFormat="1" applyFont="1" applyFill="1" applyBorder="1" applyAlignment="1" applyProtection="1">
      <alignment vertical="center"/>
      <protection locked="0"/>
    </xf>
    <xf numFmtId="3" fontId="19" fillId="18" borderId="24" xfId="6" applyNumberFormat="1" applyFont="1" applyFill="1" applyBorder="1" applyAlignment="1" applyProtection="1">
      <alignment vertical="center"/>
    </xf>
    <xf numFmtId="3" fontId="19" fillId="18" borderId="27" xfId="6" applyNumberFormat="1" applyFont="1" applyFill="1" applyBorder="1" applyAlignment="1" applyProtection="1">
      <alignment vertical="center"/>
    </xf>
    <xf numFmtId="3" fontId="19" fillId="18" borderId="117" xfId="6" applyNumberFormat="1" applyFont="1" applyFill="1" applyBorder="1" applyAlignment="1" applyProtection="1">
      <alignment vertical="center"/>
    </xf>
    <xf numFmtId="3" fontId="19" fillId="18" borderId="82" xfId="6" applyNumberFormat="1" applyFont="1" applyFill="1" applyBorder="1" applyAlignment="1" applyProtection="1">
      <alignment vertical="center"/>
    </xf>
    <xf numFmtId="3" fontId="19" fillId="18" borderId="118" xfId="6" applyNumberFormat="1" applyFont="1" applyFill="1" applyBorder="1" applyAlignment="1" applyProtection="1">
      <alignment vertical="center"/>
    </xf>
    <xf numFmtId="0" fontId="19" fillId="0" borderId="113" xfId="6" applyFont="1" applyFill="1" applyBorder="1" applyAlignment="1" applyProtection="1">
      <alignment horizontal="center" vertical="center" wrapText="1"/>
    </xf>
    <xf numFmtId="0" fontId="62" fillId="0" borderId="0" xfId="6" applyFont="1" applyProtection="1"/>
    <xf numFmtId="0" fontId="19" fillId="0" borderId="18" xfId="6" applyFont="1" applyFill="1" applyBorder="1" applyAlignment="1" applyProtection="1">
      <alignment vertical="center" wrapText="1"/>
    </xf>
    <xf numFmtId="0" fontId="19" fillId="0" borderId="68" xfId="6" applyFont="1" applyFill="1" applyBorder="1" applyAlignment="1" applyProtection="1">
      <alignment vertical="center" wrapText="1"/>
    </xf>
    <xf numFmtId="0" fontId="65" fillId="0" borderId="0" xfId="6" applyFont="1" applyProtection="1"/>
    <xf numFmtId="0" fontId="65" fillId="0" borderId="0" xfId="6" applyFont="1" applyAlignment="1" applyProtection="1">
      <alignment horizontal="center"/>
    </xf>
    <xf numFmtId="0" fontId="66" fillId="0" borderId="0" xfId="6" applyFont="1" applyAlignment="1" applyProtection="1">
      <alignment horizontal="left"/>
    </xf>
    <xf numFmtId="0" fontId="30" fillId="0" borderId="0" xfId="0" applyFont="1" applyFill="1" applyAlignment="1" applyProtection="1">
      <alignment horizontal="center"/>
      <protection hidden="1"/>
    </xf>
    <xf numFmtId="0" fontId="30" fillId="0" borderId="0" xfId="0" applyFont="1" applyFill="1" applyAlignment="1" applyProtection="1">
      <alignment horizontal="center"/>
    </xf>
    <xf numFmtId="167" fontId="30" fillId="0" borderId="14" xfId="0" applyNumberFormat="1" applyFont="1" applyFill="1" applyBorder="1" applyAlignment="1" applyProtection="1">
      <alignment horizontal="center"/>
      <protection hidden="1"/>
    </xf>
    <xf numFmtId="0" fontId="17" fillId="0" borderId="0" xfId="0" applyFont="1" applyAlignment="1" applyProtection="1">
      <alignment horizontal="center" vertical="center" wrapText="1"/>
    </xf>
    <xf numFmtId="0" fontId="17" fillId="0" borderId="0" xfId="0" applyFont="1" applyFill="1" applyAlignment="1" applyProtection="1">
      <alignment horizontal="center" vertical="center" wrapText="1"/>
    </xf>
    <xf numFmtId="0" fontId="78" fillId="0" borderId="0" xfId="0" applyFont="1" applyBorder="1" applyProtection="1"/>
    <xf numFmtId="0" fontId="78" fillId="0" borderId="0" xfId="0" applyFont="1" applyProtection="1"/>
    <xf numFmtId="3" fontId="30" fillId="18" borderId="10" xfId="0" applyNumberFormat="1" applyFont="1" applyFill="1" applyBorder="1" applyAlignment="1" applyProtection="1">
      <alignment vertical="center"/>
    </xf>
    <xf numFmtId="3" fontId="16" fillId="18" borderId="10" xfId="0" applyNumberFormat="1" applyFont="1" applyFill="1" applyBorder="1" applyAlignment="1" applyProtection="1">
      <alignment vertical="center"/>
    </xf>
    <xf numFmtId="3" fontId="19" fillId="18" borderId="18" xfId="0" applyNumberFormat="1" applyFont="1" applyFill="1" applyBorder="1" applyAlignment="1" applyProtection="1">
      <alignment vertical="center"/>
    </xf>
    <xf numFmtId="3" fontId="16" fillId="18" borderId="18" xfId="0" applyNumberFormat="1" applyFont="1" applyFill="1" applyBorder="1" applyAlignment="1" applyProtection="1">
      <alignment vertical="center"/>
    </xf>
    <xf numFmtId="3" fontId="30" fillId="18" borderId="18" xfId="0" applyNumberFormat="1" applyFont="1" applyFill="1" applyBorder="1" applyAlignment="1" applyProtection="1">
      <alignment vertical="center"/>
    </xf>
    <xf numFmtId="3" fontId="30" fillId="16" borderId="18" xfId="0" applyNumberFormat="1" applyFont="1" applyFill="1" applyBorder="1" applyAlignment="1" applyProtection="1">
      <alignment vertical="center"/>
    </xf>
    <xf numFmtId="0" fontId="0" fillId="0" borderId="0" xfId="0" applyAlignment="1" applyProtection="1">
      <alignment horizontal="left" wrapText="1"/>
    </xf>
    <xf numFmtId="0" fontId="16" fillId="0" borderId="12" xfId="0" applyFont="1" applyFill="1" applyBorder="1" applyAlignment="1" applyProtection="1">
      <alignment horizontal="center" vertical="center" wrapText="1"/>
    </xf>
    <xf numFmtId="0" fontId="16" fillId="0" borderId="119" xfId="0" applyFont="1" applyFill="1" applyBorder="1" applyAlignment="1" applyProtection="1">
      <alignment horizontal="center" vertical="center" wrapText="1"/>
    </xf>
    <xf numFmtId="0" fontId="16" fillId="0" borderId="69" xfId="0" applyFont="1" applyFill="1" applyBorder="1" applyAlignment="1" applyProtection="1">
      <alignment horizontal="center" vertical="center" wrapText="1"/>
    </xf>
    <xf numFmtId="0" fontId="16" fillId="0" borderId="120" xfId="0" applyFont="1" applyFill="1" applyBorder="1" applyAlignment="1" applyProtection="1">
      <alignment horizontal="center" vertical="center" wrapText="1"/>
    </xf>
    <xf numFmtId="0" fontId="30" fillId="0" borderId="0" xfId="13" applyFont="1" applyAlignment="1" applyProtection="1">
      <alignment vertical="center"/>
    </xf>
    <xf numFmtId="0" fontId="79" fillId="0" borderId="0" xfId="13" applyFont="1" applyAlignment="1" applyProtection="1">
      <alignment vertical="center"/>
    </xf>
    <xf numFmtId="3" fontId="17" fillId="0" borderId="17" xfId="11" applyNumberFormat="1" applyFont="1" applyFill="1" applyBorder="1" applyAlignment="1" applyProtection="1">
      <alignment vertical="center"/>
    </xf>
    <xf numFmtId="0" fontId="19" fillId="0" borderId="10" xfId="13" applyFont="1" applyFill="1" applyBorder="1" applyAlignment="1" applyProtection="1">
      <alignment vertical="center"/>
    </xf>
    <xf numFmtId="0" fontId="19" fillId="0" borderId="10" xfId="0" applyFont="1" applyFill="1" applyBorder="1" applyAlignment="1" applyProtection="1">
      <alignment vertical="center" wrapText="1"/>
    </xf>
    <xf numFmtId="0" fontId="19" fillId="0" borderId="28" xfId="0" applyFont="1" applyFill="1" applyBorder="1" applyAlignment="1" applyProtection="1">
      <alignment vertical="center" wrapText="1"/>
    </xf>
    <xf numFmtId="0" fontId="19" fillId="0" borderId="24" xfId="0" applyFont="1" applyFill="1" applyBorder="1" applyAlignment="1" applyProtection="1">
      <alignment vertical="center" wrapText="1"/>
    </xf>
    <xf numFmtId="0" fontId="67" fillId="0" borderId="0" xfId="0" applyFont="1" applyProtection="1"/>
    <xf numFmtId="0" fontId="19" fillId="0" borderId="10" xfId="0" applyFont="1" applyFill="1" applyBorder="1" applyAlignment="1" applyProtection="1">
      <alignment vertical="center"/>
    </xf>
    <xf numFmtId="0" fontId="19" fillId="0" borderId="10" xfId="0" applyFont="1" applyFill="1" applyBorder="1" applyAlignment="1" applyProtection="1">
      <alignment horizontal="left" vertical="center"/>
    </xf>
    <xf numFmtId="0" fontId="69" fillId="0" borderId="0" xfId="0" applyFont="1" applyProtection="1"/>
    <xf numFmtId="0" fontId="16" fillId="0" borderId="24" xfId="0" applyFont="1" applyFill="1" applyBorder="1" applyAlignment="1" applyProtection="1">
      <alignment horizontal="center" vertical="top" wrapText="1"/>
    </xf>
    <xf numFmtId="0" fontId="67" fillId="12" borderId="0" xfId="13" applyFont="1" applyFill="1" applyProtection="1"/>
    <xf numFmtId="0" fontId="67" fillId="12" borderId="0" xfId="13" applyFont="1" applyFill="1" applyBorder="1" applyProtection="1"/>
    <xf numFmtId="0" fontId="31" fillId="0" borderId="0" xfId="6" applyFont="1" applyFill="1" applyBorder="1" applyAlignment="1" applyProtection="1">
      <alignment horizontal="center" wrapText="1"/>
    </xf>
    <xf numFmtId="0" fontId="16" fillId="0" borderId="10" xfId="0" applyFont="1" applyFill="1" applyBorder="1" applyAlignment="1" applyProtection="1">
      <alignment vertical="center" wrapText="1"/>
    </xf>
    <xf numFmtId="0" fontId="19" fillId="7" borderId="8" xfId="6" applyFont="1" applyFill="1" applyBorder="1" applyAlignment="1" applyProtection="1">
      <alignment vertical="center" wrapText="1"/>
    </xf>
    <xf numFmtId="0" fontId="19" fillId="7" borderId="112" xfId="6" applyFont="1" applyFill="1" applyBorder="1" applyAlignment="1" applyProtection="1">
      <alignment vertical="center" wrapText="1"/>
    </xf>
    <xf numFmtId="3" fontId="19" fillId="0" borderId="121" xfId="6" applyNumberFormat="1" applyFont="1" applyFill="1" applyBorder="1" applyAlignment="1" applyProtection="1">
      <alignment vertical="center"/>
      <protection locked="0"/>
    </xf>
    <xf numFmtId="3" fontId="19" fillId="18" borderId="121" xfId="6" applyNumberFormat="1" applyFont="1" applyFill="1" applyBorder="1" applyAlignment="1" applyProtection="1">
      <alignment vertical="center"/>
    </xf>
    <xf numFmtId="0" fontId="19" fillId="7" borderId="88" xfId="6" applyFont="1" applyFill="1" applyBorder="1" applyAlignment="1" applyProtection="1">
      <alignment vertical="center" wrapText="1"/>
    </xf>
    <xf numFmtId="0" fontId="19" fillId="7" borderId="122" xfId="6" applyFont="1" applyFill="1" applyBorder="1" applyAlignment="1" applyProtection="1">
      <alignment horizontal="left" vertical="center" wrapText="1" indent="1"/>
    </xf>
    <xf numFmtId="0" fontId="19" fillId="7" borderId="11" xfId="6" applyFont="1" applyFill="1" applyBorder="1" applyAlignment="1" applyProtection="1">
      <alignment vertical="center" wrapText="1"/>
    </xf>
    <xf numFmtId="0" fontId="16" fillId="17" borderId="123" xfId="6" applyFont="1" applyFill="1" applyBorder="1" applyAlignment="1" applyProtection="1">
      <alignment vertical="center" wrapText="1"/>
    </xf>
    <xf numFmtId="3" fontId="19" fillId="0" borderId="124" xfId="6" applyNumberFormat="1" applyFont="1" applyFill="1" applyBorder="1" applyAlignment="1" applyProtection="1">
      <alignment vertical="center"/>
      <protection locked="0"/>
    </xf>
    <xf numFmtId="3" fontId="19" fillId="0" borderId="52" xfId="6" applyNumberFormat="1" applyFont="1" applyFill="1" applyBorder="1" applyAlignment="1" applyProtection="1">
      <alignment vertical="center"/>
      <protection locked="0"/>
    </xf>
    <xf numFmtId="3" fontId="19" fillId="0" borderId="125" xfId="6" applyNumberFormat="1" applyFont="1" applyFill="1" applyBorder="1" applyAlignment="1" applyProtection="1">
      <alignment vertical="center"/>
      <protection locked="0"/>
    </xf>
    <xf numFmtId="3" fontId="19" fillId="0" borderId="65" xfId="6" applyNumberFormat="1" applyFont="1" applyFill="1" applyBorder="1" applyAlignment="1" applyProtection="1">
      <alignment vertical="center"/>
      <protection locked="0"/>
    </xf>
    <xf numFmtId="3" fontId="19" fillId="0" borderId="59" xfId="6" applyNumberFormat="1" applyFont="1" applyFill="1" applyBorder="1" applyAlignment="1" applyProtection="1">
      <alignment vertical="center"/>
      <protection locked="0"/>
    </xf>
    <xf numFmtId="3" fontId="19" fillId="0" borderId="126" xfId="6" applyNumberFormat="1" applyFont="1" applyFill="1" applyBorder="1" applyAlignment="1" applyProtection="1">
      <alignment vertical="center"/>
      <protection locked="0"/>
    </xf>
    <xf numFmtId="3" fontId="19" fillId="18" borderId="125" xfId="6" applyNumberFormat="1" applyFont="1" applyFill="1" applyBorder="1" applyAlignment="1" applyProtection="1">
      <alignment vertical="center"/>
    </xf>
    <xf numFmtId="3" fontId="19" fillId="18" borderId="65" xfId="6" applyNumberFormat="1" applyFont="1" applyFill="1" applyBorder="1" applyAlignment="1" applyProtection="1">
      <alignment vertical="center"/>
    </xf>
    <xf numFmtId="3" fontId="19" fillId="18" borderId="126" xfId="6" applyNumberFormat="1" applyFont="1" applyFill="1" applyBorder="1" applyAlignment="1" applyProtection="1">
      <alignment vertical="center"/>
    </xf>
    <xf numFmtId="3" fontId="19" fillId="18" borderId="127" xfId="6" applyNumberFormat="1" applyFont="1" applyFill="1" applyBorder="1" applyAlignment="1" applyProtection="1">
      <alignment vertical="center"/>
    </xf>
    <xf numFmtId="3" fontId="19" fillId="18" borderId="128" xfId="6" applyNumberFormat="1" applyFont="1" applyFill="1" applyBorder="1" applyAlignment="1" applyProtection="1">
      <alignment vertical="center"/>
    </xf>
    <xf numFmtId="3" fontId="19" fillId="18" borderId="129" xfId="6" applyNumberFormat="1" applyFont="1" applyFill="1" applyBorder="1" applyAlignment="1" applyProtection="1">
      <alignment vertical="center"/>
    </xf>
    <xf numFmtId="3" fontId="19" fillId="18" borderId="130" xfId="6" applyNumberFormat="1" applyFont="1" applyFill="1" applyBorder="1" applyAlignment="1" applyProtection="1">
      <alignment vertical="center"/>
    </xf>
    <xf numFmtId="3" fontId="19" fillId="18" borderId="131" xfId="6" applyNumberFormat="1" applyFont="1" applyFill="1" applyBorder="1" applyAlignment="1" applyProtection="1">
      <alignment vertical="center"/>
    </xf>
    <xf numFmtId="3" fontId="16" fillId="16" borderId="12" xfId="6" applyNumberFormat="1" applyFont="1" applyFill="1" applyBorder="1" applyAlignment="1" applyProtection="1">
      <alignment horizontal="left" vertical="center"/>
    </xf>
    <xf numFmtId="0" fontId="30" fillId="0" borderId="0" xfId="0" applyFont="1" applyBorder="1" applyAlignment="1" applyProtection="1">
      <alignment horizontal="left" vertical="top"/>
    </xf>
    <xf numFmtId="0" fontId="19" fillId="0" borderId="18" xfId="6" applyFont="1" applyBorder="1" applyAlignment="1" applyProtection="1">
      <alignment horizontal="center" vertical="top"/>
    </xf>
    <xf numFmtId="0" fontId="19" fillId="0" borderId="36" xfId="6" applyFont="1" applyBorder="1" applyAlignment="1" applyProtection="1">
      <alignment horizontal="center" vertical="top"/>
    </xf>
    <xf numFmtId="0" fontId="19" fillId="0" borderId="74" xfId="6" applyFont="1" applyBorder="1" applyAlignment="1" applyProtection="1">
      <alignment horizontal="center" vertical="top"/>
    </xf>
    <xf numFmtId="0" fontId="0" fillId="0" borderId="0" xfId="0" applyAlignment="1" applyProtection="1">
      <alignment vertical="top" wrapText="1"/>
    </xf>
    <xf numFmtId="0" fontId="32" fillId="0" borderId="0" xfId="0" applyFont="1" applyProtection="1"/>
    <xf numFmtId="0" fontId="32" fillId="0" borderId="0" xfId="0" applyFont="1" applyAlignment="1" applyProtection="1">
      <alignment horizontal="left"/>
    </xf>
    <xf numFmtId="0" fontId="0" fillId="0" borderId="0" xfId="0" quotePrefix="1" applyProtection="1"/>
    <xf numFmtId="0" fontId="16" fillId="4" borderId="11" xfId="0" applyFont="1" applyFill="1" applyBorder="1" applyAlignment="1" applyProtection="1">
      <alignment horizontal="left" vertical="center"/>
    </xf>
    <xf numFmtId="3" fontId="16" fillId="4" borderId="13" xfId="0" applyNumberFormat="1" applyFont="1" applyFill="1" applyBorder="1" applyAlignment="1" applyProtection="1">
      <alignment horizontal="left" vertical="center"/>
    </xf>
    <xf numFmtId="0" fontId="30" fillId="0" borderId="0" xfId="6" applyFont="1" applyBorder="1" applyAlignment="1" applyProtection="1">
      <alignment horizontal="left" wrapText="1"/>
    </xf>
    <xf numFmtId="0" fontId="16" fillId="0" borderId="24" xfId="6" applyFont="1" applyBorder="1" applyAlignment="1" applyProtection="1">
      <alignment horizontal="center" wrapText="1"/>
    </xf>
    <xf numFmtId="0" fontId="0" fillId="0" borderId="0" xfId="0" applyFill="1" applyAlignment="1" applyProtection="1">
      <alignment horizontal="center"/>
    </xf>
    <xf numFmtId="0" fontId="19" fillId="7" borderId="132" xfId="6" applyFont="1" applyFill="1" applyBorder="1" applyAlignment="1" applyProtection="1">
      <alignment vertical="center"/>
    </xf>
    <xf numFmtId="0" fontId="19" fillId="7" borderId="133" xfId="6" applyFont="1" applyFill="1" applyBorder="1" applyAlignment="1" applyProtection="1">
      <alignment vertical="center"/>
    </xf>
    <xf numFmtId="0" fontId="30" fillId="7" borderId="11" xfId="6" applyFont="1" applyFill="1" applyBorder="1" applyAlignment="1" applyProtection="1">
      <alignment vertical="center"/>
    </xf>
    <xf numFmtId="0" fontId="15" fillId="0" borderId="0" xfId="2" quotePrefix="1" applyNumberFormat="1" applyFont="1" applyFill="1" applyBorder="1" applyAlignment="1" applyProtection="1">
      <alignment horizontal="center"/>
    </xf>
    <xf numFmtId="0" fontId="15" fillId="0" borderId="0" xfId="2" quotePrefix="1" applyFont="1" applyAlignment="1" applyProtection="1">
      <alignment horizontal="center"/>
    </xf>
    <xf numFmtId="0" fontId="19" fillId="0" borderId="0" xfId="11" applyFont="1" applyAlignment="1" applyProtection="1">
      <alignment horizontal="left" vertical="center"/>
    </xf>
    <xf numFmtId="0" fontId="0" fillId="0" borderId="10" xfId="0" applyFill="1" applyBorder="1" applyAlignment="1" applyProtection="1">
      <alignment horizontal="center" wrapText="1"/>
    </xf>
    <xf numFmtId="3" fontId="19" fillId="17" borderId="134" xfId="6" applyNumberFormat="1" applyFont="1" applyFill="1" applyBorder="1" applyAlignment="1" applyProtection="1">
      <alignment horizontal="right" vertical="center"/>
    </xf>
    <xf numFmtId="0" fontId="16" fillId="7" borderId="24" xfId="6" applyFont="1" applyFill="1" applyBorder="1" applyAlignment="1" applyProtection="1">
      <alignment vertical="center" wrapText="1"/>
    </xf>
    <xf numFmtId="0" fontId="16" fillId="6" borderId="24" xfId="6" applyFont="1" applyFill="1" applyBorder="1" applyAlignment="1" applyProtection="1">
      <alignment vertical="center" wrapText="1"/>
    </xf>
    <xf numFmtId="0" fontId="19" fillId="0" borderId="18" xfId="6" applyFont="1" applyBorder="1" applyAlignment="1" applyProtection="1">
      <alignment vertical="center"/>
    </xf>
    <xf numFmtId="0" fontId="19" fillId="0" borderId="135" xfId="6" applyFont="1" applyBorder="1" applyAlignment="1" applyProtection="1">
      <alignment horizontal="center"/>
    </xf>
    <xf numFmtId="0" fontId="19" fillId="0" borderId="38" xfId="6" applyFont="1" applyBorder="1" applyAlignment="1" applyProtection="1">
      <alignment horizontal="center"/>
    </xf>
    <xf numFmtId="0" fontId="19" fillId="0" borderId="136" xfId="6" applyFont="1" applyBorder="1" applyAlignment="1" applyProtection="1">
      <alignment horizontal="center"/>
    </xf>
    <xf numFmtId="3" fontId="19" fillId="0" borderId="69" xfId="6" applyNumberFormat="1" applyFont="1" applyBorder="1" applyAlignment="1" applyProtection="1">
      <alignment vertical="center" wrapText="1"/>
      <protection locked="0"/>
    </xf>
    <xf numFmtId="3" fontId="19" fillId="0" borderId="12" xfId="6" applyNumberFormat="1" applyFont="1" applyBorder="1" applyAlignment="1" applyProtection="1">
      <alignment vertical="center" wrapText="1"/>
      <protection locked="0"/>
    </xf>
    <xf numFmtId="3" fontId="19" fillId="0" borderId="69" xfId="6" applyNumberFormat="1" applyFont="1" applyBorder="1" applyAlignment="1" applyProtection="1">
      <alignment horizontal="right" vertical="center" wrapText="1"/>
      <protection locked="0"/>
    </xf>
    <xf numFmtId="3" fontId="19" fillId="0" borderId="18" xfId="6" applyNumberFormat="1" applyFont="1" applyBorder="1" applyAlignment="1" applyProtection="1">
      <alignment horizontal="right" vertical="center" wrapText="1"/>
      <protection locked="0"/>
    </xf>
    <xf numFmtId="3" fontId="19" fillId="5" borderId="14" xfId="6" applyNumberFormat="1" applyFont="1" applyFill="1" applyBorder="1" applyAlignment="1" applyProtection="1">
      <alignment vertical="center" wrapText="1"/>
      <protection locked="0"/>
    </xf>
    <xf numFmtId="3" fontId="19" fillId="5" borderId="24" xfId="6" applyNumberFormat="1" applyFont="1" applyFill="1" applyBorder="1" applyAlignment="1" applyProtection="1">
      <alignment vertical="center" wrapText="1"/>
      <protection locked="0"/>
    </xf>
    <xf numFmtId="3" fontId="19" fillId="0" borderId="69" xfId="6" applyNumberFormat="1" applyFont="1" applyFill="1" applyBorder="1" applyAlignment="1" applyProtection="1">
      <alignment vertical="center" wrapText="1"/>
      <protection locked="0"/>
    </xf>
    <xf numFmtId="3" fontId="19" fillId="0" borderId="10" xfId="6" applyNumberFormat="1" applyFont="1" applyFill="1" applyBorder="1" applyAlignment="1" applyProtection="1">
      <alignment vertical="center" wrapText="1"/>
      <protection locked="0"/>
    </xf>
    <xf numFmtId="3" fontId="19" fillId="23" borderId="24" xfId="11" applyNumberFormat="1" applyFont="1" applyFill="1" applyBorder="1" applyAlignment="1" applyProtection="1">
      <alignment vertical="center"/>
    </xf>
    <xf numFmtId="3" fontId="19" fillId="0" borderId="24" xfId="13" applyNumberFormat="1" applyFont="1" applyBorder="1" applyAlignment="1" applyProtection="1">
      <alignment vertical="center" wrapText="1"/>
      <protection locked="0"/>
    </xf>
    <xf numFmtId="0" fontId="19" fillId="20" borderId="24" xfId="13" applyFont="1" applyFill="1" applyBorder="1" applyAlignment="1" applyProtection="1">
      <alignment horizontal="center" vertical="center"/>
      <protection locked="0"/>
    </xf>
    <xf numFmtId="0" fontId="19" fillId="0" borderId="122" xfId="0" applyFont="1" applyFill="1" applyBorder="1" applyProtection="1"/>
    <xf numFmtId="0" fontId="6" fillId="0" borderId="0" xfId="1" applyAlignment="1" applyProtection="1"/>
    <xf numFmtId="0" fontId="6" fillId="0" borderId="0" xfId="1" applyProtection="1"/>
    <xf numFmtId="3" fontId="34" fillId="18" borderId="28" xfId="0" applyNumberFormat="1" applyFont="1" applyFill="1" applyBorder="1" applyAlignment="1" applyProtection="1">
      <alignment horizontal="center" vertical="center"/>
    </xf>
    <xf numFmtId="0" fontId="6" fillId="0" borderId="0" xfId="1" applyAlignment="1" applyProtection="1">
      <alignment horizontal="right"/>
    </xf>
    <xf numFmtId="0" fontId="6" fillId="0" borderId="0" xfId="1" applyAlignment="1" applyProtection="1">
      <alignment vertical="center"/>
    </xf>
    <xf numFmtId="0" fontId="0" fillId="0" borderId="0" xfId="0" applyBorder="1" applyAlignment="1" applyProtection="1"/>
    <xf numFmtId="0" fontId="8" fillId="12" borderId="24" xfId="0" applyFont="1" applyFill="1" applyBorder="1" applyProtection="1"/>
    <xf numFmtId="0" fontId="8" fillId="12" borderId="24" xfId="0" applyFont="1" applyFill="1" applyBorder="1" applyAlignment="1" applyProtection="1">
      <alignment horizontal="center"/>
    </xf>
    <xf numFmtId="0" fontId="8" fillId="12" borderId="0" xfId="0" applyFont="1" applyFill="1" applyProtection="1"/>
    <xf numFmtId="0" fontId="0" fillId="12" borderId="24" xfId="0" applyFill="1" applyBorder="1" applyAlignment="1" applyProtection="1">
      <alignment horizontal="center"/>
    </xf>
    <xf numFmtId="0" fontId="0" fillId="12" borderId="24" xfId="0" applyFill="1" applyBorder="1" applyProtection="1"/>
    <xf numFmtId="3" fontId="0" fillId="18" borderId="24" xfId="0" applyNumberFormat="1" applyFill="1" applyBorder="1" applyProtection="1"/>
    <xf numFmtId="0" fontId="0" fillId="12" borderId="24" xfId="0" applyFill="1" applyBorder="1" applyAlignment="1" applyProtection="1">
      <alignment wrapText="1"/>
    </xf>
    <xf numFmtId="3" fontId="0" fillId="18" borderId="24" xfId="0" applyNumberFormat="1" applyFill="1" applyBorder="1" applyAlignment="1" applyProtection="1">
      <alignment vertical="center"/>
    </xf>
    <xf numFmtId="0" fontId="0" fillId="12" borderId="0" xfId="0" applyFill="1" applyAlignment="1" applyProtection="1">
      <alignment horizontal="center"/>
    </xf>
    <xf numFmtId="3" fontId="0" fillId="12" borderId="0" xfId="0" applyNumberFormat="1" applyFill="1" applyProtection="1"/>
    <xf numFmtId="170" fontId="0" fillId="12" borderId="0" xfId="0" applyNumberFormat="1" applyFill="1" applyProtection="1"/>
    <xf numFmtId="3" fontId="0" fillId="12" borderId="24" xfId="0" applyNumberFormat="1" applyFill="1" applyBorder="1" applyProtection="1">
      <protection locked="0"/>
    </xf>
    <xf numFmtId="3" fontId="19" fillId="0" borderId="24" xfId="11" applyNumberFormat="1" applyFont="1" applyBorder="1" applyAlignment="1" applyProtection="1">
      <alignment horizontal="right"/>
      <protection locked="0"/>
    </xf>
    <xf numFmtId="3" fontId="34" fillId="5" borderId="18" xfId="0" applyNumberFormat="1" applyFont="1" applyFill="1" applyBorder="1" applyAlignment="1" applyProtection="1">
      <alignment vertical="center"/>
      <protection locked="0"/>
    </xf>
    <xf numFmtId="3" fontId="34" fillId="0" borderId="12" xfId="0" applyNumberFormat="1" applyFont="1" applyBorder="1" applyAlignment="1" applyProtection="1">
      <alignment vertical="center"/>
      <protection locked="0"/>
    </xf>
    <xf numFmtId="0" fontId="27" fillId="0" borderId="0" xfId="1" applyFont="1" applyAlignment="1" applyProtection="1"/>
    <xf numFmtId="4" fontId="34" fillId="0" borderId="24" xfId="11" applyNumberFormat="1" applyFont="1" applyBorder="1" applyAlignment="1" applyProtection="1">
      <alignment horizontal="right" vertical="center"/>
      <protection locked="0"/>
    </xf>
    <xf numFmtId="4" fontId="34" fillId="0" borderId="56" xfId="11" applyNumberFormat="1" applyFont="1" applyBorder="1" applyAlignment="1" applyProtection="1">
      <alignment horizontal="right" vertical="center"/>
      <protection locked="0"/>
    </xf>
    <xf numFmtId="4" fontId="34" fillId="0" borderId="10" xfId="11" applyNumberFormat="1" applyFont="1" applyBorder="1" applyAlignment="1" applyProtection="1">
      <alignment horizontal="right" vertical="center"/>
      <protection locked="0"/>
    </xf>
    <xf numFmtId="4" fontId="34" fillId="0" borderId="56" xfId="11" applyNumberFormat="1" applyFont="1" applyFill="1" applyBorder="1" applyAlignment="1" applyProtection="1">
      <alignment horizontal="right" vertical="center"/>
      <protection locked="0"/>
    </xf>
    <xf numFmtId="0" fontId="41" fillId="0" borderId="0" xfId="1" applyFont="1" applyAlignment="1" applyProtection="1">
      <alignment horizontal="center"/>
    </xf>
    <xf numFmtId="3" fontId="0" fillId="12" borderId="24" xfId="0" applyNumberFormat="1" applyFill="1" applyBorder="1" applyAlignment="1" applyProtection="1">
      <alignment horizontal="center" vertical="center"/>
      <protection locked="0"/>
    </xf>
    <xf numFmtId="3" fontId="19" fillId="0" borderId="24" xfId="2" applyNumberFormat="1" applyFont="1" applyFill="1" applyBorder="1" applyAlignment="1" applyProtection="1">
      <alignment horizontal="center" vertical="center" wrapText="1"/>
      <protection locked="0"/>
    </xf>
    <xf numFmtId="0" fontId="16" fillId="0" borderId="137" xfId="13" applyFont="1" applyFill="1" applyBorder="1" applyAlignment="1" applyProtection="1">
      <alignment horizontal="center" vertical="center" wrapText="1"/>
    </xf>
    <xf numFmtId="169" fontId="19" fillId="0" borderId="75" xfId="13" applyNumberFormat="1" applyFont="1" applyFill="1" applyBorder="1" applyAlignment="1" applyProtection="1">
      <alignment vertical="center"/>
      <protection locked="0"/>
    </xf>
    <xf numFmtId="169" fontId="19" fillId="0" borderId="76" xfId="13" applyNumberFormat="1" applyFont="1" applyFill="1" applyBorder="1" applyAlignment="1" applyProtection="1">
      <alignment vertical="center"/>
      <protection locked="0"/>
    </xf>
    <xf numFmtId="169" fontId="19" fillId="0" borderId="79" xfId="13" applyNumberFormat="1" applyFont="1" applyFill="1" applyBorder="1" applyAlignment="1" applyProtection="1">
      <alignment vertical="center"/>
      <protection locked="0"/>
    </xf>
    <xf numFmtId="169" fontId="19" fillId="0" borderId="10" xfId="13" applyNumberFormat="1" applyFont="1" applyFill="1" applyBorder="1" applyAlignment="1" applyProtection="1">
      <alignment vertical="center"/>
      <protection locked="0"/>
    </xf>
    <xf numFmtId="169" fontId="19" fillId="0" borderId="12" xfId="13" applyNumberFormat="1" applyFont="1" applyFill="1" applyBorder="1" applyAlignment="1" applyProtection="1">
      <alignment vertical="center"/>
      <protection locked="0"/>
    </xf>
    <xf numFmtId="169" fontId="19" fillId="22" borderId="79" xfId="13" applyNumberFormat="1" applyFont="1" applyFill="1" applyBorder="1" applyAlignment="1" applyProtection="1">
      <alignment vertical="center"/>
      <protection locked="0"/>
    </xf>
    <xf numFmtId="169" fontId="19" fillId="22" borderId="12" xfId="13" applyNumberFormat="1" applyFont="1" applyFill="1" applyBorder="1" applyAlignment="1" applyProtection="1">
      <alignment vertical="center"/>
      <protection locked="0"/>
    </xf>
    <xf numFmtId="169" fontId="19" fillId="0" borderId="55" xfId="13" applyNumberFormat="1" applyFont="1" applyFill="1" applyBorder="1" applyAlignment="1" applyProtection="1">
      <alignment vertical="center"/>
      <protection locked="0"/>
    </xf>
    <xf numFmtId="169" fontId="19" fillId="22" borderId="55" xfId="13" applyNumberFormat="1" applyFont="1" applyFill="1" applyBorder="1" applyAlignment="1" applyProtection="1">
      <alignment vertical="center"/>
      <protection locked="0"/>
    </xf>
    <xf numFmtId="169" fontId="19" fillId="22" borderId="17" xfId="13" applyNumberFormat="1" applyFont="1" applyFill="1" applyBorder="1" applyAlignment="1" applyProtection="1">
      <alignment vertical="center"/>
      <protection locked="0"/>
    </xf>
    <xf numFmtId="169" fontId="19" fillId="0" borderId="17" xfId="13" applyNumberFormat="1" applyFont="1" applyFill="1" applyBorder="1" applyAlignment="1" applyProtection="1">
      <alignment vertical="center"/>
      <protection locked="0"/>
    </xf>
    <xf numFmtId="169" fontId="19" fillId="0" borderId="18" xfId="0" applyNumberFormat="1" applyFont="1" applyBorder="1" applyAlignment="1" applyProtection="1">
      <alignment vertical="center"/>
      <protection locked="0"/>
    </xf>
    <xf numFmtId="169" fontId="19" fillId="0" borderId="10" xfId="0" applyNumberFormat="1" applyFont="1" applyBorder="1" applyAlignment="1" applyProtection="1">
      <alignment vertical="center"/>
      <protection locked="0"/>
    </xf>
    <xf numFmtId="0" fontId="19" fillId="24" borderId="56" xfId="0" applyFont="1" applyFill="1" applyBorder="1" applyAlignment="1" applyProtection="1">
      <alignment horizontal="center"/>
      <protection locked="0"/>
    </xf>
    <xf numFmtId="3" fontId="19" fillId="0" borderId="18" xfId="0" applyNumberFormat="1" applyFont="1" applyFill="1" applyBorder="1" applyAlignment="1" applyProtection="1">
      <alignment horizontal="center" vertical="center" wrapText="1"/>
      <protection locked="0"/>
    </xf>
    <xf numFmtId="3" fontId="19" fillId="0" borderId="12" xfId="0" applyNumberFormat="1" applyFont="1" applyFill="1" applyBorder="1" applyAlignment="1" applyProtection="1">
      <alignment horizontal="center" vertical="center" wrapText="1"/>
      <protection locked="0"/>
    </xf>
    <xf numFmtId="3" fontId="19" fillId="0" borderId="67" xfId="0" applyNumberFormat="1" applyFont="1" applyFill="1" applyBorder="1" applyAlignment="1" applyProtection="1">
      <alignment horizontal="center" vertical="center" wrapText="1"/>
      <protection locked="0"/>
    </xf>
    <xf numFmtId="3" fontId="19" fillId="0" borderId="10" xfId="0" applyNumberFormat="1" applyFont="1" applyFill="1" applyBorder="1" applyAlignment="1" applyProtection="1">
      <alignment horizontal="center" vertical="center" wrapText="1"/>
      <protection locked="0"/>
    </xf>
    <xf numFmtId="3" fontId="19" fillId="0" borderId="138" xfId="0" applyNumberFormat="1" applyFont="1" applyFill="1" applyBorder="1" applyAlignment="1" applyProtection="1">
      <alignment horizontal="center" vertical="center" wrapText="1"/>
      <protection locked="0"/>
    </xf>
    <xf numFmtId="3" fontId="19" fillId="0" borderId="18" xfId="0" applyNumberFormat="1" applyFont="1" applyFill="1" applyBorder="1" applyAlignment="1" applyProtection="1">
      <alignment horizontal="center" vertical="center"/>
      <protection locked="0"/>
    </xf>
    <xf numFmtId="3" fontId="19" fillId="0" borderId="12" xfId="0" applyNumberFormat="1" applyFont="1" applyFill="1" applyBorder="1" applyAlignment="1" applyProtection="1">
      <alignment horizontal="center" vertical="center"/>
      <protection locked="0"/>
    </xf>
    <xf numFmtId="3" fontId="19" fillId="0" borderId="139" xfId="0" applyNumberFormat="1" applyFont="1" applyFill="1" applyBorder="1" applyAlignment="1" applyProtection="1">
      <alignment horizontal="center" vertical="center"/>
      <protection locked="0"/>
    </xf>
    <xf numFmtId="3" fontId="19" fillId="0" borderId="68" xfId="0" applyNumberFormat="1" applyFont="1" applyFill="1" applyBorder="1" applyAlignment="1" applyProtection="1">
      <alignment horizontal="center" vertical="center"/>
      <protection locked="0"/>
    </xf>
    <xf numFmtId="3" fontId="19" fillId="0" borderId="135" xfId="0" applyNumberFormat="1" applyFont="1" applyFill="1" applyBorder="1" applyAlignment="1" applyProtection="1">
      <alignment horizontal="center" vertical="center"/>
      <protection locked="0"/>
    </xf>
    <xf numFmtId="0" fontId="29" fillId="12" borderId="0" xfId="0" applyFont="1" applyFill="1" applyProtection="1"/>
    <xf numFmtId="3" fontId="19" fillId="0" borderId="24" xfId="11" applyNumberFormat="1" applyFont="1" applyFill="1" applyBorder="1" applyAlignment="1" applyProtection="1">
      <alignment vertical="center"/>
      <protection locked="0"/>
    </xf>
    <xf numFmtId="0" fontId="19" fillId="0" borderId="24" xfId="0" applyFont="1" applyBorder="1"/>
    <xf numFmtId="4" fontId="19" fillId="0" borderId="24" xfId="6" applyNumberFormat="1" applyFont="1" applyBorder="1" applyAlignment="1" applyProtection="1">
      <alignment vertical="center"/>
      <protection locked="0"/>
    </xf>
    <xf numFmtId="4" fontId="19" fillId="0" borderId="24" xfId="1" applyNumberFormat="1" applyFont="1" applyBorder="1" applyAlignment="1" applyProtection="1">
      <alignment vertical="center"/>
      <protection locked="0"/>
    </xf>
    <xf numFmtId="4" fontId="19" fillId="0" borderId="10" xfId="6" applyNumberFormat="1" applyFont="1" applyBorder="1" applyAlignment="1" applyProtection="1">
      <alignment vertical="center"/>
      <protection locked="0"/>
    </xf>
    <xf numFmtId="4" fontId="19" fillId="0" borderId="18" xfId="6" applyNumberFormat="1" applyFont="1" applyBorder="1" applyAlignment="1" applyProtection="1">
      <alignment vertical="center"/>
      <protection locked="0"/>
    </xf>
    <xf numFmtId="3" fontId="19" fillId="0" borderId="21" xfId="0" applyNumberFormat="1" applyFont="1" applyBorder="1" applyAlignment="1" applyProtection="1">
      <alignment horizontal="center" vertical="center"/>
      <protection locked="0"/>
    </xf>
    <xf numFmtId="0" fontId="34" fillId="0" borderId="24"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34" fillId="0" borderId="14" xfId="0" applyFont="1" applyBorder="1" applyAlignment="1" applyProtection="1">
      <alignment horizontal="center" vertical="center" wrapText="1"/>
    </xf>
    <xf numFmtId="0" fontId="19" fillId="0" borderId="10" xfId="12" applyFont="1" applyFill="1" applyBorder="1" applyAlignment="1" applyProtection="1">
      <alignment horizontal="left" vertical="center" wrapText="1" indent="2"/>
    </xf>
    <xf numFmtId="0" fontId="30" fillId="0" borderId="10" xfId="12" applyFont="1" applyFill="1" applyBorder="1" applyAlignment="1" applyProtection="1">
      <alignment horizontal="left" vertical="center" wrapText="1" indent="2"/>
    </xf>
    <xf numFmtId="0" fontId="30" fillId="0" borderId="18" xfId="12" applyFont="1" applyFill="1" applyBorder="1" applyAlignment="1" applyProtection="1">
      <alignment horizontal="left" vertical="center" wrapText="1" indent="2"/>
    </xf>
    <xf numFmtId="3" fontId="19" fillId="18" borderId="140" xfId="11" applyNumberFormat="1" applyFont="1" applyFill="1" applyBorder="1" applyAlignment="1" applyProtection="1">
      <alignment vertical="center"/>
    </xf>
    <xf numFmtId="3" fontId="19" fillId="17" borderId="56" xfId="0" applyNumberFormat="1" applyFont="1" applyFill="1" applyBorder="1" applyAlignment="1" applyProtection="1">
      <alignment vertical="center"/>
    </xf>
    <xf numFmtId="0" fontId="19" fillId="0" borderId="10" xfId="0" applyFont="1" applyFill="1" applyBorder="1" applyAlignment="1" applyProtection="1">
      <alignment horizontal="justify" vertical="center" wrapText="1"/>
    </xf>
    <xf numFmtId="0" fontId="19" fillId="0" borderId="12" xfId="0" applyFont="1" applyBorder="1" applyAlignment="1" applyProtection="1">
      <alignment vertical="center"/>
    </xf>
    <xf numFmtId="0" fontId="19" fillId="0" borderId="13" xfId="0" applyFont="1" applyBorder="1" applyAlignment="1" applyProtection="1">
      <alignment vertical="center"/>
    </xf>
    <xf numFmtId="49" fontId="81" fillId="2" borderId="0" xfId="23">
      <alignment horizontal="center" vertical="justify"/>
    </xf>
    <xf numFmtId="0" fontId="0" fillId="0" borderId="0" xfId="0" quotePrefix="1"/>
    <xf numFmtId="4" fontId="34" fillId="16" borderId="21" xfId="0" applyNumberFormat="1" applyFont="1" applyFill="1" applyBorder="1" applyAlignment="1" applyProtection="1">
      <alignment vertical="center"/>
    </xf>
    <xf numFmtId="3" fontId="17" fillId="0" borderId="18" xfId="11" applyNumberFormat="1" applyFont="1" applyFill="1" applyBorder="1" applyAlignment="1" applyProtection="1">
      <alignment vertical="center"/>
    </xf>
    <xf numFmtId="3" fontId="17" fillId="0" borderId="10" xfId="11" applyNumberFormat="1" applyFont="1" applyFill="1" applyBorder="1" applyAlignment="1" applyProtection="1">
      <alignment vertical="center"/>
    </xf>
    <xf numFmtId="0" fontId="17" fillId="0" borderId="10" xfId="11" applyFont="1" applyFill="1" applyBorder="1" applyAlignment="1" applyProtection="1">
      <alignment horizontal="left" vertical="center"/>
    </xf>
    <xf numFmtId="0" fontId="17" fillId="0" borderId="10" xfId="11" applyFont="1" applyFill="1" applyBorder="1" applyAlignment="1" applyProtection="1">
      <alignment vertical="center"/>
    </xf>
    <xf numFmtId="0" fontId="17" fillId="0" borderId="10" xfId="11" applyFont="1" applyFill="1" applyBorder="1" applyAlignment="1" applyProtection="1">
      <alignment vertical="center" wrapText="1"/>
    </xf>
    <xf numFmtId="3" fontId="19" fillId="18" borderId="141" xfId="6" applyNumberFormat="1" applyFont="1" applyFill="1" applyBorder="1" applyAlignment="1" applyProtection="1">
      <alignment vertical="center"/>
    </xf>
    <xf numFmtId="3" fontId="19" fillId="18" borderId="142" xfId="6" applyNumberFormat="1" applyFont="1" applyFill="1" applyBorder="1" applyAlignment="1" applyProtection="1">
      <alignment vertical="center"/>
    </xf>
    <xf numFmtId="3" fontId="19" fillId="18" borderId="43" xfId="6" applyNumberFormat="1" applyFont="1" applyFill="1" applyBorder="1" applyAlignment="1" applyProtection="1">
      <alignment vertical="center"/>
    </xf>
    <xf numFmtId="3" fontId="19" fillId="18" borderId="90" xfId="6" applyNumberFormat="1" applyFont="1" applyFill="1" applyBorder="1" applyAlignment="1" applyProtection="1">
      <alignment vertical="center"/>
    </xf>
    <xf numFmtId="3" fontId="19" fillId="18" borderId="38" xfId="6" applyNumberFormat="1" applyFont="1" applyFill="1" applyBorder="1" applyAlignment="1" applyProtection="1">
      <alignment vertical="center"/>
    </xf>
    <xf numFmtId="3" fontId="19" fillId="18" borderId="59" xfId="6" applyNumberFormat="1" applyFont="1" applyFill="1" applyBorder="1" applyAlignment="1" applyProtection="1">
      <alignment vertical="center"/>
    </xf>
    <xf numFmtId="0" fontId="17" fillId="0" borderId="18" xfId="11" applyFont="1" applyBorder="1" applyAlignment="1" applyProtection="1">
      <alignment horizontal="center" vertical="center" wrapText="1"/>
    </xf>
    <xf numFmtId="49" fontId="0" fillId="0" borderId="78" xfId="0" quotePrefix="1" applyNumberFormat="1" applyFill="1" applyBorder="1" applyProtection="1">
      <protection locked="0"/>
    </xf>
    <xf numFmtId="3" fontId="0" fillId="12" borderId="24" xfId="0" applyNumberFormat="1" applyFill="1" applyBorder="1" applyAlignment="1" applyProtection="1">
      <alignment vertical="center"/>
      <protection locked="0"/>
    </xf>
    <xf numFmtId="0" fontId="19" fillId="7" borderId="143" xfId="6" applyFont="1" applyFill="1" applyBorder="1" applyAlignment="1" applyProtection="1">
      <alignment vertical="center" wrapText="1"/>
    </xf>
    <xf numFmtId="0" fontId="83" fillId="0" borderId="0" xfId="20" applyFont="1" applyBorder="1" applyAlignment="1" applyProtection="1">
      <alignment horizontal="justify" wrapText="1"/>
    </xf>
    <xf numFmtId="0" fontId="84" fillId="0" borderId="0" xfId="20" applyFont="1" applyBorder="1" applyAlignment="1" applyProtection="1">
      <alignment horizontal="justify" wrapText="1"/>
    </xf>
    <xf numFmtId="0" fontId="83" fillId="0" borderId="0" xfId="20" applyProtection="1"/>
    <xf numFmtId="0" fontId="86" fillId="0" borderId="0" xfId="20" applyFont="1" applyProtection="1"/>
    <xf numFmtId="0" fontId="83" fillId="0" borderId="0" xfId="20" applyAlignment="1" applyProtection="1"/>
    <xf numFmtId="0" fontId="83" fillId="0" borderId="0" xfId="20" applyFont="1" applyAlignment="1" applyProtection="1"/>
    <xf numFmtId="0" fontId="83" fillId="0" borderId="0" xfId="20" applyFont="1" applyProtection="1"/>
    <xf numFmtId="0" fontId="83" fillId="0" borderId="0" xfId="20" applyFont="1"/>
    <xf numFmtId="0" fontId="89" fillId="0" borderId="0" xfId="20" applyFont="1" applyProtection="1"/>
    <xf numFmtId="0" fontId="24" fillId="0" borderId="0" xfId="20" applyFont="1" applyProtection="1"/>
    <xf numFmtId="0" fontId="24" fillId="0" borderId="0" xfId="20" applyFont="1"/>
    <xf numFmtId="0" fontId="83" fillId="0" borderId="0" xfId="20" applyAlignment="1" applyProtection="1">
      <alignment horizontal="left" indent="15"/>
    </xf>
    <xf numFmtId="0" fontId="86" fillId="0" borderId="0" xfId="20" applyFont="1" applyBorder="1" applyAlignment="1" applyProtection="1">
      <alignment horizontal="left" vertical="top" wrapText="1" indent="15"/>
    </xf>
    <xf numFmtId="0" fontId="83" fillId="0" borderId="0" xfId="20" applyFont="1" applyAlignment="1" applyProtection="1">
      <alignment vertical="center" wrapText="1"/>
    </xf>
    <xf numFmtId="0" fontId="50" fillId="0" borderId="0" xfId="0" applyFont="1" applyBorder="1" applyProtection="1"/>
    <xf numFmtId="0" fontId="98" fillId="0" borderId="0" xfId="20" applyFont="1" applyProtection="1"/>
    <xf numFmtId="0" fontId="83" fillId="0" borderId="0" xfId="20" applyFont="1" applyAlignment="1" applyProtection="1">
      <alignment horizontal="left" indent="15"/>
    </xf>
    <xf numFmtId="0" fontId="101" fillId="0" borderId="0" xfId="20" applyFont="1" applyProtection="1"/>
    <xf numFmtId="0" fontId="102" fillId="0" borderId="0" xfId="20" applyFont="1" applyProtection="1"/>
    <xf numFmtId="0" fontId="84" fillId="0" borderId="0" xfId="20" applyFont="1" applyAlignment="1" applyProtection="1">
      <alignment horizontal="left" indent="15"/>
    </xf>
    <xf numFmtId="0" fontId="84" fillId="0" borderId="0" xfId="20" applyFont="1" applyAlignment="1" applyProtection="1"/>
    <xf numFmtId="0" fontId="83" fillId="0" borderId="0" xfId="20" applyFont="1" applyBorder="1" applyAlignment="1" applyProtection="1">
      <alignment vertical="top"/>
    </xf>
    <xf numFmtId="0" fontId="97" fillId="0" borderId="0" xfId="20" applyFont="1" applyBorder="1" applyAlignment="1" applyProtection="1">
      <alignment vertical="top"/>
    </xf>
    <xf numFmtId="0" fontId="83" fillId="0" borderId="0" xfId="20" applyFont="1" applyAlignment="1">
      <alignment wrapText="1"/>
    </xf>
    <xf numFmtId="0" fontId="103" fillId="0" borderId="0" xfId="0" applyFont="1"/>
    <xf numFmtId="0" fontId="103" fillId="0" borderId="0" xfId="20" applyFont="1" applyProtection="1"/>
    <xf numFmtId="0" fontId="83" fillId="25" borderId="0" xfId="20" applyFont="1" applyFill="1" applyProtection="1"/>
    <xf numFmtId="0" fontId="83" fillId="25" borderId="0" xfId="20" applyFont="1" applyFill="1"/>
    <xf numFmtId="0" fontId="106" fillId="25" borderId="0" xfId="3" applyFont="1" applyFill="1" applyBorder="1" applyAlignment="1" applyProtection="1">
      <alignment horizontal="center"/>
    </xf>
    <xf numFmtId="0" fontId="83" fillId="25" borderId="0" xfId="20" applyFont="1" applyFill="1" applyAlignment="1">
      <alignment wrapText="1"/>
    </xf>
    <xf numFmtId="0" fontId="84" fillId="25" borderId="0" xfId="20" applyFont="1" applyFill="1"/>
    <xf numFmtId="0" fontId="87" fillId="0" borderId="0" xfId="20" applyFont="1" applyAlignment="1" applyProtection="1">
      <alignment horizontal="center"/>
    </xf>
    <xf numFmtId="0" fontId="84" fillId="0" borderId="0" xfId="20" applyFont="1" applyAlignment="1" applyProtection="1">
      <alignment wrapText="1"/>
    </xf>
    <xf numFmtId="0" fontId="108" fillId="0" borderId="0" xfId="20" applyFont="1" applyAlignment="1" applyProtection="1"/>
    <xf numFmtId="0" fontId="110" fillId="0" borderId="0" xfId="20" applyFont="1" applyBorder="1" applyAlignment="1" applyProtection="1">
      <alignment horizontal="justify" wrapText="1"/>
    </xf>
    <xf numFmtId="0" fontId="86" fillId="0" borderId="0" xfId="20" applyFont="1" applyBorder="1" applyAlignment="1" applyProtection="1">
      <alignment horizontal="justify" wrapText="1"/>
    </xf>
    <xf numFmtId="0" fontId="83" fillId="0" borderId="0" xfId="20" quotePrefix="1" applyAlignment="1" applyProtection="1"/>
    <xf numFmtId="0" fontId="83" fillId="0" borderId="0" xfId="20" quotePrefix="1" applyFont="1" applyAlignment="1" applyProtection="1"/>
    <xf numFmtId="0" fontId="87" fillId="0" borderId="0" xfId="20" applyFont="1" applyBorder="1" applyAlignment="1" applyProtection="1">
      <alignment horizontal="justify" wrapText="1"/>
    </xf>
    <xf numFmtId="0" fontId="90" fillId="0" borderId="0" xfId="20" applyFont="1" applyProtection="1"/>
    <xf numFmtId="0" fontId="109" fillId="0" borderId="0" xfId="20" applyFont="1" applyBorder="1" applyAlignment="1" applyProtection="1">
      <alignment wrapText="1"/>
    </xf>
    <xf numFmtId="0" fontId="107" fillId="0" borderId="0" xfId="20" applyFont="1" applyBorder="1" applyAlignment="1" applyProtection="1">
      <alignment wrapText="1"/>
    </xf>
    <xf numFmtId="0" fontId="112" fillId="0" borderId="0" xfId="20" applyFont="1" applyBorder="1" applyAlignment="1" applyProtection="1">
      <alignment wrapText="1"/>
    </xf>
    <xf numFmtId="0" fontId="113" fillId="0" borderId="0" xfId="20" applyFont="1" applyProtection="1"/>
    <xf numFmtId="0" fontId="107" fillId="0" borderId="0" xfId="20" applyFont="1" applyProtection="1"/>
    <xf numFmtId="0" fontId="34" fillId="0" borderId="0" xfId="20" applyFont="1" applyProtection="1"/>
    <xf numFmtId="0" fontId="34" fillId="0" borderId="0" xfId="20" applyFont="1"/>
    <xf numFmtId="0" fontId="114" fillId="0" borderId="0" xfId="20" applyFont="1" applyProtection="1"/>
    <xf numFmtId="0" fontId="90" fillId="0" borderId="0" xfId="20" applyFont="1" applyAlignment="1" applyProtection="1">
      <alignment horizontal="left"/>
    </xf>
    <xf numFmtId="0" fontId="90" fillId="0" borderId="0" xfId="20" applyFont="1" applyAlignment="1" applyProtection="1"/>
    <xf numFmtId="0" fontId="108" fillId="0" borderId="0" xfId="20" applyFont="1" applyProtection="1"/>
    <xf numFmtId="0" fontId="83" fillId="0" borderId="0" xfId="20" applyBorder="1" applyProtection="1"/>
    <xf numFmtId="0" fontId="83" fillId="0" borderId="0" xfId="20" applyFont="1" applyBorder="1" applyProtection="1"/>
    <xf numFmtId="0" fontId="84" fillId="0" borderId="0" xfId="20" applyFont="1" applyAlignment="1" applyProtection="1">
      <alignment horizontal="justify" vertical="top" wrapText="1"/>
    </xf>
    <xf numFmtId="0" fontId="83" fillId="0" borderId="0" xfId="20" applyFont="1" applyAlignment="1" applyProtection="1">
      <alignment horizontal="justify" vertical="top" wrapText="1"/>
    </xf>
    <xf numFmtId="0" fontId="15" fillId="0" borderId="0" xfId="2" applyNumberFormat="1" applyFont="1" applyFill="1" applyBorder="1" applyAlignment="1" applyProtection="1">
      <alignment horizontal="center" wrapText="1"/>
    </xf>
    <xf numFmtId="0" fontId="15" fillId="0" borderId="0" xfId="2" applyFont="1" applyAlignment="1" applyProtection="1">
      <alignment horizontal="center"/>
    </xf>
    <xf numFmtId="0" fontId="19" fillId="0" borderId="139" xfId="0" applyFont="1" applyBorder="1" applyAlignment="1" applyProtection="1">
      <alignment vertical="center" wrapText="1"/>
    </xf>
    <xf numFmtId="3" fontId="19" fillId="0" borderId="68" xfId="0" applyNumberFormat="1" applyFont="1" applyBorder="1" applyAlignment="1" applyProtection="1">
      <alignment horizontal="center" vertical="center"/>
      <protection locked="0"/>
    </xf>
    <xf numFmtId="0" fontId="0" fillId="12" borderId="24" xfId="0" applyFill="1" applyBorder="1" applyAlignment="1" applyProtection="1">
      <alignment vertical="center" wrapText="1"/>
    </xf>
    <xf numFmtId="0" fontId="83" fillId="0" borderId="24" xfId="20" applyFont="1" applyBorder="1" applyAlignment="1" applyProtection="1">
      <alignment horizontal="center" vertical="center" wrapText="1"/>
    </xf>
    <xf numFmtId="0" fontId="8" fillId="0" borderId="0" xfId="20" applyFont="1"/>
    <xf numFmtId="0" fontId="121" fillId="0" borderId="0" xfId="20" applyFont="1" applyBorder="1" applyAlignment="1">
      <alignment vertical="top" wrapText="1"/>
    </xf>
    <xf numFmtId="0" fontId="84" fillId="0" borderId="0" xfId="20" applyFont="1" applyProtection="1"/>
    <xf numFmtId="0" fontId="24" fillId="0" borderId="0" xfId="0" applyFont="1" applyBorder="1" applyAlignment="1" applyProtection="1">
      <alignment horizontal="justify" wrapText="1"/>
    </xf>
    <xf numFmtId="0" fontId="0" fillId="0" borderId="22" xfId="0" applyFont="1" applyBorder="1" applyAlignment="1" applyProtection="1">
      <alignment horizontal="left" vertical="center" wrapText="1" indent="1"/>
    </xf>
    <xf numFmtId="0" fontId="0" fillId="0" borderId="22" xfId="0" applyBorder="1" applyAlignment="1" applyProtection="1">
      <alignment horizontal="left" vertical="center" wrapText="1" indent="1"/>
    </xf>
    <xf numFmtId="49" fontId="19" fillId="0" borderId="91" xfId="13" applyNumberFormat="1" applyFont="1" applyFill="1" applyBorder="1" applyAlignment="1" applyProtection="1">
      <alignment vertical="center"/>
    </xf>
    <xf numFmtId="0" fontId="19" fillId="0" borderId="91" xfId="13" applyNumberFormat="1" applyFont="1" applyFill="1" applyBorder="1" applyAlignment="1" applyProtection="1">
      <alignment horizontal="center" vertical="center" wrapText="1"/>
    </xf>
    <xf numFmtId="0" fontId="19" fillId="0" borderId="94" xfId="0" applyFont="1" applyFill="1" applyBorder="1" applyAlignment="1" applyProtection="1">
      <alignment horizontal="left" vertical="center" wrapText="1"/>
    </xf>
    <xf numFmtId="0" fontId="83" fillId="0" borderId="0" xfId="20" applyFont="1" applyAlignment="1" applyProtection="1">
      <alignment wrapText="1"/>
    </xf>
    <xf numFmtId="3" fontId="0" fillId="0" borderId="24" xfId="0" applyNumberFormat="1" applyBorder="1" applyAlignment="1" applyProtection="1">
      <alignment horizontal="center" vertical="center"/>
      <protection locked="0"/>
    </xf>
    <xf numFmtId="0" fontId="84" fillId="0" borderId="0" xfId="20" applyFont="1" applyBorder="1" applyAlignment="1" applyProtection="1">
      <alignment horizontal="left" wrapText="1"/>
    </xf>
    <xf numFmtId="0" fontId="83" fillId="0" borderId="0" xfId="20" applyFont="1" applyBorder="1" applyAlignment="1" applyProtection="1">
      <alignment horizontal="left" vertical="top" wrapText="1" indent="1"/>
    </xf>
    <xf numFmtId="0" fontId="122" fillId="0" borderId="0" xfId="20" applyFont="1" applyProtection="1"/>
    <xf numFmtId="0" fontId="83" fillId="0" borderId="0" xfId="20"/>
    <xf numFmtId="0" fontId="86" fillId="0" borderId="0" xfId="20" applyFont="1" applyAlignment="1" applyProtection="1">
      <alignment wrapText="1"/>
    </xf>
    <xf numFmtId="0" fontId="124" fillId="0" borderId="0" xfId="20" applyFont="1" applyAlignment="1" applyProtection="1"/>
    <xf numFmtId="0" fontId="101" fillId="0" borderId="0" xfId="20" applyFont="1" applyAlignment="1" applyProtection="1"/>
    <xf numFmtId="0" fontId="18" fillId="0" borderId="0" xfId="0" applyFont="1" applyProtection="1"/>
    <xf numFmtId="0" fontId="109" fillId="0" borderId="0" xfId="20" applyFont="1" applyAlignment="1" applyProtection="1"/>
    <xf numFmtId="0" fontId="98" fillId="0" borderId="0" xfId="20" applyFont="1" applyAlignment="1" applyProtection="1"/>
    <xf numFmtId="0" fontId="98" fillId="0" borderId="0" xfId="20" applyFont="1" applyAlignment="1" applyProtection="1">
      <alignment horizontal="left" wrapText="1" indent="15"/>
    </xf>
    <xf numFmtId="0" fontId="83" fillId="0" borderId="0" xfId="20" applyFont="1" applyAlignment="1" applyProtection="1">
      <alignment horizontal="left" indent="5"/>
    </xf>
    <xf numFmtId="0" fontId="83" fillId="0" borderId="0" xfId="20" applyFont="1" applyBorder="1" applyAlignment="1" applyProtection="1">
      <alignment horizontal="left" wrapText="1" indent="15"/>
    </xf>
    <xf numFmtId="0" fontId="84" fillId="0" borderId="0" xfId="20" applyFont="1" applyAlignment="1" applyProtection="1">
      <alignment horizontal="left" indent="1"/>
    </xf>
    <xf numFmtId="0" fontId="83" fillId="0" borderId="0" xfId="20" applyFont="1" applyAlignment="1" applyProtection="1">
      <alignment horizontal="left" indent="1"/>
    </xf>
    <xf numFmtId="0" fontId="83" fillId="0" borderId="0" xfId="20" applyFont="1" applyAlignment="1">
      <alignment horizontal="left" indent="1"/>
    </xf>
    <xf numFmtId="0" fontId="126" fillId="0" borderId="0" xfId="20" applyFont="1" applyAlignment="1">
      <alignment horizontal="left" wrapText="1"/>
    </xf>
    <xf numFmtId="0" fontId="83" fillId="0" borderId="0" xfId="20" applyAlignment="1">
      <alignment horizontal="left" wrapText="1"/>
    </xf>
    <xf numFmtId="0" fontId="83" fillId="0" borderId="0" xfId="20" applyBorder="1" applyAlignment="1" applyProtection="1">
      <alignment horizontal="left" wrapText="1" indent="15"/>
    </xf>
    <xf numFmtId="0" fontId="84" fillId="0" borderId="0" xfId="20" applyFont="1" applyAlignment="1">
      <alignment horizontal="justify" wrapText="1"/>
    </xf>
    <xf numFmtId="0" fontId="62" fillId="0" borderId="0" xfId="0" applyFont="1" applyBorder="1" applyAlignment="1" applyProtection="1">
      <alignment horizontal="left" wrapText="1"/>
    </xf>
    <xf numFmtId="0" fontId="16" fillId="0" borderId="24" xfId="0" applyFont="1" applyBorder="1" applyProtection="1"/>
    <xf numFmtId="0" fontId="19" fillId="0" borderId="24" xfId="0" applyFont="1" applyBorder="1" applyProtection="1"/>
    <xf numFmtId="0" fontId="16" fillId="0" borderId="24" xfId="0" applyFont="1" applyBorder="1" applyAlignment="1" applyProtection="1">
      <alignment horizontal="center" vertical="top" wrapText="1"/>
    </xf>
    <xf numFmtId="0" fontId="19" fillId="0" borderId="24" xfId="0" applyFont="1" applyBorder="1" applyAlignment="1" applyProtection="1">
      <alignment wrapText="1"/>
    </xf>
    <xf numFmtId="0" fontId="6" fillId="0" borderId="0" xfId="1" applyFont="1" applyAlignment="1" applyProtection="1"/>
    <xf numFmtId="0" fontId="6" fillId="0" borderId="0" xfId="1" applyFont="1" applyProtection="1"/>
    <xf numFmtId="0" fontId="6" fillId="0" borderId="0" xfId="1" applyFont="1" applyAlignment="1" applyProtection="1">
      <alignment horizontal="center"/>
    </xf>
    <xf numFmtId="0" fontId="6" fillId="0" borderId="0" xfId="1" applyFont="1" applyAlignment="1" applyProtection="1">
      <alignment horizontal="center" wrapText="1"/>
    </xf>
    <xf numFmtId="0" fontId="6" fillId="0" borderId="0" xfId="1" applyAlignment="1"/>
    <xf numFmtId="0" fontId="6" fillId="0" borderId="0" xfId="0" applyFont="1"/>
    <xf numFmtId="0" fontId="6" fillId="0" borderId="0" xfId="0" quotePrefix="1" applyFont="1"/>
    <xf numFmtId="0" fontId="6" fillId="0" borderId="0" xfId="1" applyFont="1" applyAlignment="1" applyProtection="1">
      <alignment horizontal="center" vertical="center"/>
    </xf>
    <xf numFmtId="0" fontId="6" fillId="0" borderId="0" xfId="1" applyFont="1" applyAlignment="1" applyProtection="1">
      <alignment horizontal="center" vertical="center" wrapText="1"/>
    </xf>
    <xf numFmtId="0" fontId="6" fillId="0" borderId="0" xfId="1" quotePrefix="1" applyFont="1" applyAlignment="1" applyProtection="1">
      <alignment horizontal="center" vertical="center"/>
    </xf>
    <xf numFmtId="49" fontId="6" fillId="0" borderId="0" xfId="1" applyNumberFormat="1" applyFont="1" applyAlignment="1" applyProtection="1"/>
    <xf numFmtId="0" fontId="6" fillId="0" borderId="0" xfId="0" applyFont="1" applyProtection="1"/>
    <xf numFmtId="0" fontId="6" fillId="0" borderId="0" xfId="1" quotePrefix="1" applyFont="1" applyProtection="1"/>
    <xf numFmtId="0" fontId="6" fillId="0" borderId="0" xfId="1" quotePrefix="1" applyFont="1" applyAlignment="1" applyProtection="1">
      <alignment horizontal="center"/>
    </xf>
    <xf numFmtId="0" fontId="6" fillId="0" borderId="0" xfId="1" quotePrefix="1" applyFont="1" applyAlignment="1" applyProtection="1"/>
    <xf numFmtId="0" fontId="6" fillId="0" borderId="0" xfId="0" applyFont="1" applyAlignment="1" applyProtection="1">
      <alignment horizontal="center"/>
    </xf>
    <xf numFmtId="0" fontId="6" fillId="0" borderId="0" xfId="1" applyFont="1" applyAlignment="1" applyProtection="1">
      <alignment horizontal="right"/>
    </xf>
    <xf numFmtId="0" fontId="6" fillId="0" borderId="0" xfId="1" applyFont="1" applyAlignment="1" applyProtection="1">
      <alignment vertical="center"/>
    </xf>
    <xf numFmtId="0" fontId="6" fillId="0" borderId="0" xfId="1" applyFont="1" applyAlignment="1" applyProtection="1">
      <alignment horizontal="right" vertical="center"/>
    </xf>
    <xf numFmtId="49" fontId="6" fillId="0" borderId="0" xfId="13" applyNumberFormat="1" applyFont="1" applyAlignment="1" applyProtection="1">
      <alignment horizontal="center"/>
    </xf>
    <xf numFmtId="0" fontId="38" fillId="0" borderId="0" xfId="13" applyFont="1" applyAlignment="1" applyProtection="1">
      <alignment horizontal="center"/>
    </xf>
    <xf numFmtId="0" fontId="38" fillId="0" borderId="0" xfId="13" quotePrefix="1" applyFont="1" applyAlignment="1" applyProtection="1">
      <alignment horizontal="center"/>
    </xf>
    <xf numFmtId="0" fontId="38" fillId="0" borderId="0" xfId="13" applyFont="1" applyProtection="1"/>
    <xf numFmtId="0" fontId="38" fillId="0" borderId="0" xfId="1" applyFont="1" applyProtection="1"/>
    <xf numFmtId="0" fontId="128" fillId="0" borderId="0" xfId="13" applyFont="1" applyProtection="1"/>
    <xf numFmtId="0" fontId="129" fillId="0" borderId="0" xfId="13" applyFont="1" applyProtection="1"/>
    <xf numFmtId="0" fontId="129" fillId="0" borderId="0" xfId="13" quotePrefix="1" applyFont="1" applyProtection="1"/>
    <xf numFmtId="0" fontId="38" fillId="0" borderId="0" xfId="1" applyFont="1" applyAlignment="1" applyProtection="1"/>
    <xf numFmtId="0" fontId="38" fillId="0" borderId="0" xfId="1" quotePrefix="1" applyFont="1" applyAlignment="1" applyProtection="1">
      <alignment vertical="top"/>
    </xf>
    <xf numFmtId="0" fontId="38" fillId="0" borderId="19" xfId="6" applyFont="1" applyBorder="1" applyAlignment="1" applyProtection="1">
      <alignment horizontal="center"/>
    </xf>
    <xf numFmtId="0" fontId="38" fillId="0" borderId="19" xfId="6" quotePrefix="1" applyFont="1" applyFill="1" applyBorder="1" applyAlignment="1" applyProtection="1">
      <alignment horizontal="center"/>
    </xf>
    <xf numFmtId="0" fontId="38" fillId="0" borderId="0" xfId="1" applyFont="1" applyAlignment="1" applyProtection="1">
      <alignment horizontal="center"/>
    </xf>
    <xf numFmtId="0" fontId="6" fillId="0" borderId="0" xfId="1" applyFont="1" applyBorder="1" applyAlignment="1" applyProtection="1">
      <alignment horizontal="center"/>
    </xf>
    <xf numFmtId="0" fontId="6" fillId="0" borderId="0" xfId="1" quotePrefix="1" applyFont="1" applyBorder="1" applyAlignment="1" applyProtection="1">
      <alignment horizontal="center"/>
    </xf>
    <xf numFmtId="0" fontId="38" fillId="0" borderId="0" xfId="1" applyFont="1" applyAlignment="1" applyProtection="1">
      <alignment wrapText="1"/>
    </xf>
    <xf numFmtId="0" fontId="38" fillId="0" borderId="0" xfId="6" applyFont="1" applyProtection="1"/>
    <xf numFmtId="0" fontId="38" fillId="0" borderId="0" xfId="0" applyFont="1" applyProtection="1"/>
    <xf numFmtId="0" fontId="38" fillId="0" borderId="0" xfId="1" applyFont="1" applyAlignment="1" applyProtection="1">
      <alignment horizontal="center" vertical="center"/>
    </xf>
    <xf numFmtId="0" fontId="38" fillId="0" borderId="0" xfId="1" applyFont="1" applyAlignment="1" applyProtection="1">
      <alignment horizontal="center" vertical="center" wrapText="1"/>
    </xf>
    <xf numFmtId="0" fontId="38" fillId="0" borderId="0" xfId="0" quotePrefix="1" applyFont="1" applyProtection="1"/>
    <xf numFmtId="0" fontId="38" fillId="12" borderId="0" xfId="0" applyFont="1" applyFill="1" applyProtection="1"/>
    <xf numFmtId="0" fontId="38" fillId="0" borderId="0" xfId="1" applyFont="1" applyAlignment="1" applyProtection="1">
      <alignment horizontal="right"/>
    </xf>
    <xf numFmtId="0" fontId="6" fillId="0" borderId="0" xfId="1" quotePrefix="1" applyFont="1" applyAlignment="1" applyProtection="1">
      <alignment horizontal="right"/>
    </xf>
    <xf numFmtId="0" fontId="38" fillId="0" borderId="0" xfId="1" quotePrefix="1" applyFont="1" applyAlignment="1" applyProtection="1">
      <alignment horizontal="right" vertical="center"/>
    </xf>
    <xf numFmtId="0" fontId="38" fillId="0" borderId="0" xfId="1" quotePrefix="1" applyFont="1" applyAlignment="1" applyProtection="1">
      <alignment horizontal="right"/>
    </xf>
    <xf numFmtId="0" fontId="38" fillId="0" borderId="0" xfId="1" quotePrefix="1" applyFont="1" applyAlignment="1" applyProtection="1">
      <alignment horizontal="center"/>
    </xf>
    <xf numFmtId="0" fontId="38" fillId="0" borderId="0" xfId="13" quotePrefix="1" applyFont="1" applyFill="1" applyAlignment="1" applyProtection="1">
      <alignment horizontal="right"/>
    </xf>
    <xf numFmtId="0" fontId="38" fillId="0" borderId="0" xfId="0" applyFont="1"/>
    <xf numFmtId="0" fontId="38" fillId="0" borderId="0" xfId="0" applyFont="1" applyBorder="1" applyAlignment="1" applyProtection="1">
      <alignment horizontal="center" wrapText="1"/>
    </xf>
    <xf numFmtId="0" fontId="38" fillId="0" borderId="0" xfId="0" applyFont="1" applyBorder="1" applyAlignment="1" applyProtection="1">
      <alignment horizontal="left" wrapText="1"/>
    </xf>
    <xf numFmtId="0" fontId="38" fillId="0" borderId="0" xfId="0" applyFont="1" applyAlignment="1">
      <alignment vertical="center"/>
    </xf>
    <xf numFmtId="0" fontId="129" fillId="0" borderId="0" xfId="13" applyFont="1" applyAlignment="1" applyProtection="1">
      <alignment vertical="center"/>
    </xf>
    <xf numFmtId="0" fontId="128" fillId="0" borderId="0" xfId="13" applyFont="1" applyAlignment="1" applyProtection="1">
      <alignment vertical="center"/>
    </xf>
    <xf numFmtId="0" fontId="128" fillId="0" borderId="0" xfId="13" applyFont="1" applyFill="1" applyBorder="1" applyAlignment="1" applyProtection="1">
      <alignment vertical="center"/>
    </xf>
    <xf numFmtId="0" fontId="38" fillId="0" borderId="0" xfId="1" applyFont="1" applyAlignment="1" applyProtection="1">
      <alignment vertical="center"/>
    </xf>
    <xf numFmtId="0" fontId="128" fillId="0" borderId="0" xfId="13" quotePrefix="1" applyFont="1" applyAlignment="1" applyProtection="1">
      <alignment vertical="center"/>
    </xf>
    <xf numFmtId="0" fontId="38" fillId="0" borderId="0" xfId="11" applyFont="1" applyBorder="1" applyAlignment="1" applyProtection="1">
      <alignment horizontal="center" vertical="center" wrapText="1"/>
    </xf>
    <xf numFmtId="0" fontId="38" fillId="0" borderId="0" xfId="13" applyFont="1" applyAlignment="1" applyProtection="1">
      <alignment horizontal="center" vertical="center"/>
    </xf>
    <xf numFmtId="0" fontId="128" fillId="0" borderId="0" xfId="13" applyFont="1" applyAlignment="1" applyProtection="1">
      <alignment horizontal="center" vertical="center"/>
    </xf>
    <xf numFmtId="0" fontId="38" fillId="0" borderId="0" xfId="13" applyFont="1" applyAlignment="1" applyProtection="1">
      <alignment vertical="center"/>
    </xf>
    <xf numFmtId="0" fontId="38" fillId="0" borderId="0" xfId="0" quotePrefix="1" applyFont="1"/>
    <xf numFmtId="0" fontId="38" fillId="0" borderId="0" xfId="6" applyFont="1" applyAlignment="1" applyProtection="1">
      <alignment horizontal="center"/>
    </xf>
    <xf numFmtId="0" fontId="38" fillId="0" borderId="0" xfId="6" applyFont="1" applyFill="1" applyAlignment="1" applyProtection="1">
      <alignment horizontal="center"/>
    </xf>
    <xf numFmtId="0" fontId="38" fillId="0" borderId="0" xfId="0" quotePrefix="1" applyFont="1" applyAlignment="1">
      <alignment horizontal="center"/>
    </xf>
    <xf numFmtId="0" fontId="38" fillId="0" borderId="0" xfId="0" applyFont="1" applyAlignment="1">
      <alignment horizontal="center"/>
    </xf>
    <xf numFmtId="0" fontId="38" fillId="0" borderId="0" xfId="1" applyFont="1" applyAlignment="1" applyProtection="1">
      <alignment vertical="center" wrapText="1"/>
    </xf>
    <xf numFmtId="0" fontId="38" fillId="0" borderId="0" xfId="1" quotePrefix="1" applyFont="1" applyAlignment="1" applyProtection="1">
      <alignment vertical="center"/>
    </xf>
    <xf numFmtId="0" fontId="38" fillId="0" borderId="0" xfId="1" applyFont="1" applyAlignment="1" applyProtection="1">
      <alignment horizontal="center" wrapText="1"/>
    </xf>
    <xf numFmtId="0" fontId="38" fillId="0" borderId="0" xfId="1" quotePrefix="1" applyFont="1" applyProtection="1"/>
    <xf numFmtId="0" fontId="38" fillId="0" borderId="0" xfId="0" applyFont="1" applyBorder="1" applyProtection="1"/>
    <xf numFmtId="0" fontId="38" fillId="0" borderId="0" xfId="1" applyFont="1" applyAlignment="1" applyProtection="1">
      <alignment horizontal="right" vertical="center"/>
    </xf>
    <xf numFmtId="0" fontId="38" fillId="0" borderId="0" xfId="1" applyFont="1" applyFill="1" applyProtection="1"/>
    <xf numFmtId="0" fontId="38" fillId="0" borderId="0" xfId="1" quotePrefix="1" applyFont="1" applyFill="1" applyAlignment="1" applyProtection="1">
      <alignment horizontal="right"/>
    </xf>
    <xf numFmtId="0" fontId="38" fillId="0" borderId="8" xfId="0" applyFont="1" applyBorder="1" applyAlignment="1" applyProtection="1">
      <alignment horizontal="center" wrapText="1"/>
    </xf>
    <xf numFmtId="0" fontId="38" fillId="0" borderId="0" xfId="0" quotePrefix="1" applyFont="1" applyAlignment="1" applyProtection="1">
      <alignment wrapText="1"/>
    </xf>
    <xf numFmtId="0" fontId="38" fillId="12" borderId="0" xfId="13" applyFont="1" applyFill="1" applyBorder="1" applyAlignment="1" applyProtection="1">
      <alignment horizontal="center" vertical="center"/>
    </xf>
    <xf numFmtId="0" fontId="127" fillId="12" borderId="0" xfId="13" applyFont="1" applyFill="1" applyProtection="1"/>
    <xf numFmtId="0" fontId="128" fillId="12" borderId="0" xfId="13" applyFont="1" applyFill="1" applyProtection="1"/>
    <xf numFmtId="0" fontId="38" fillId="12" borderId="0" xfId="1" applyFont="1" applyFill="1" applyProtection="1"/>
    <xf numFmtId="0" fontId="6" fillId="0" borderId="0" xfId="1"/>
    <xf numFmtId="0" fontId="6" fillId="0" borderId="0" xfId="1" quotePrefix="1"/>
    <xf numFmtId="4" fontId="34" fillId="18" borderId="10" xfId="11" applyNumberFormat="1" applyFont="1" applyFill="1" applyBorder="1" applyAlignment="1" applyProtection="1">
      <alignment vertical="center"/>
    </xf>
    <xf numFmtId="0" fontId="51" fillId="0" borderId="0" xfId="6" applyFont="1" applyBorder="1" applyAlignment="1" applyProtection="1">
      <alignment vertical="top"/>
    </xf>
    <xf numFmtId="0" fontId="16" fillId="0" borderId="144" xfId="0" applyFont="1" applyBorder="1" applyAlignment="1" applyProtection="1">
      <alignment horizontal="center"/>
    </xf>
    <xf numFmtId="0" fontId="0" fillId="0" borderId="0" xfId="0" applyFill="1"/>
    <xf numFmtId="0" fontId="19" fillId="0" borderId="144" xfId="0" applyFont="1" applyBorder="1" applyProtection="1"/>
    <xf numFmtId="0" fontId="0" fillId="0" borderId="144" xfId="0" applyFill="1" applyBorder="1" applyProtection="1"/>
    <xf numFmtId="0" fontId="0" fillId="0" borderId="24" xfId="0" applyFill="1" applyBorder="1" applyAlignment="1" applyProtection="1">
      <alignment horizontal="center" vertical="center" wrapText="1"/>
    </xf>
    <xf numFmtId="0" fontId="0" fillId="0" borderId="24" xfId="0" applyFill="1" applyBorder="1" applyAlignment="1" applyProtection="1">
      <alignment horizontal="center" vertical="center"/>
    </xf>
    <xf numFmtId="0" fontId="6" fillId="0" borderId="0" xfId="1" applyFont="1"/>
    <xf numFmtId="3" fontId="17" fillId="0" borderId="24" xfId="11" applyNumberFormat="1" applyFont="1" applyFill="1" applyBorder="1" applyAlignment="1" applyProtection="1">
      <alignment vertical="center"/>
    </xf>
    <xf numFmtId="3" fontId="0" fillId="0" borderId="24" xfId="0" applyNumberFormat="1" applyFill="1" applyBorder="1" applyAlignment="1" applyProtection="1"/>
    <xf numFmtId="2" fontId="0" fillId="0" borderId="24" xfId="0" applyNumberFormat="1" applyFill="1" applyBorder="1" applyAlignment="1" applyProtection="1"/>
    <xf numFmtId="3" fontId="17" fillId="0" borderId="64" xfId="11" applyNumberFormat="1" applyFont="1" applyFill="1" applyBorder="1" applyAlignment="1" applyProtection="1">
      <alignment vertical="center"/>
    </xf>
    <xf numFmtId="0" fontId="17" fillId="0" borderId="12" xfId="11" applyFont="1" applyFill="1" applyBorder="1" applyAlignment="1" applyProtection="1">
      <alignment horizontal="left" vertical="center"/>
    </xf>
    <xf numFmtId="3" fontId="17" fillId="0" borderId="12" xfId="11" applyNumberFormat="1" applyFont="1" applyFill="1" applyBorder="1" applyAlignment="1" applyProtection="1">
      <alignment vertical="center"/>
    </xf>
    <xf numFmtId="0" fontId="17" fillId="0" borderId="12" xfId="11" applyFont="1" applyFill="1" applyBorder="1" applyAlignment="1" applyProtection="1">
      <alignment vertical="center"/>
    </xf>
    <xf numFmtId="0" fontId="17" fillId="0" borderId="12" xfId="11" applyFont="1" applyFill="1" applyBorder="1" applyAlignment="1" applyProtection="1">
      <alignment vertical="center" wrapText="1"/>
    </xf>
    <xf numFmtId="3" fontId="16" fillId="0" borderId="17" xfId="11" applyNumberFormat="1" applyFont="1" applyFill="1" applyBorder="1" applyAlignment="1" applyProtection="1">
      <alignment horizontal="left" vertical="center"/>
    </xf>
    <xf numFmtId="0" fontId="6" fillId="0" borderId="0" xfId="1" quotePrefix="1" applyFont="1"/>
    <xf numFmtId="3" fontId="0" fillId="0" borderId="24" xfId="0" applyNumberFormat="1" applyFill="1" applyBorder="1" applyProtection="1"/>
    <xf numFmtId="2" fontId="0" fillId="0" borderId="24" xfId="0" applyNumberFormat="1" applyFill="1" applyBorder="1" applyProtection="1"/>
    <xf numFmtId="0" fontId="19" fillId="0" borderId="64" xfId="11" applyFont="1" applyFill="1" applyBorder="1" applyAlignment="1" applyProtection="1">
      <alignment vertical="center" wrapText="1"/>
    </xf>
    <xf numFmtId="0" fontId="137" fillId="0" borderId="0" xfId="0" applyFont="1"/>
    <xf numFmtId="0" fontId="136" fillId="0" borderId="0" xfId="0" applyFont="1" applyFill="1" applyBorder="1"/>
    <xf numFmtId="0" fontId="136" fillId="0" borderId="0" xfId="11" applyFont="1" applyFill="1" applyBorder="1"/>
    <xf numFmtId="0" fontId="136" fillId="0" borderId="24" xfId="0" applyFont="1" applyFill="1" applyBorder="1" applyAlignment="1">
      <alignment horizontal="center"/>
    </xf>
    <xf numFmtId="0" fontId="135" fillId="0" borderId="24" xfId="0" applyFont="1" applyFill="1" applyBorder="1" applyAlignment="1">
      <alignment horizontal="center" vertical="center" wrapText="1"/>
    </xf>
    <xf numFmtId="0" fontId="135" fillId="0" borderId="0" xfId="0" applyFont="1" applyFill="1" applyBorder="1" applyAlignment="1">
      <alignment horizontal="center" vertical="center" wrapText="1"/>
    </xf>
    <xf numFmtId="0" fontId="0" fillId="0" borderId="0" xfId="0"/>
    <xf numFmtId="0" fontId="0" fillId="30" borderId="0" xfId="0" applyFill="1"/>
    <xf numFmtId="0" fontId="31" fillId="30" borderId="0" xfId="6" applyFont="1" applyFill="1" applyProtection="1"/>
    <xf numFmtId="0" fontId="38" fillId="30" borderId="0" xfId="1" applyFont="1" applyFill="1" applyAlignment="1" applyProtection="1">
      <alignment wrapText="1"/>
    </xf>
    <xf numFmtId="0" fontId="16" fillId="30" borderId="10" xfId="6" applyFont="1" applyFill="1" applyBorder="1" applyAlignment="1" applyProtection="1">
      <alignment horizontal="left"/>
    </xf>
    <xf numFmtId="0" fontId="19" fillId="30" borderId="56" xfId="6" applyFont="1" applyFill="1" applyBorder="1" applyAlignment="1" applyProtection="1">
      <alignment horizontal="center"/>
    </xf>
    <xf numFmtId="0" fontId="19" fillId="30" borderId="10" xfId="6" applyFont="1" applyFill="1" applyBorder="1" applyAlignment="1" applyProtection="1">
      <alignment horizontal="center"/>
    </xf>
    <xf numFmtId="0" fontId="19" fillId="30" borderId="10" xfId="6" applyFont="1" applyFill="1" applyBorder="1" applyAlignment="1" applyProtection="1">
      <alignment horizontal="left" vertical="center"/>
    </xf>
    <xf numFmtId="3" fontId="19" fillId="30" borderId="10" xfId="6" applyNumberFormat="1" applyFont="1" applyFill="1" applyBorder="1" applyAlignment="1" applyProtection="1">
      <alignment vertical="center"/>
      <protection locked="0"/>
    </xf>
    <xf numFmtId="3" fontId="19" fillId="30" borderId="10" xfId="6" applyNumberFormat="1" applyFont="1" applyFill="1" applyBorder="1" applyProtection="1">
      <protection locked="0"/>
    </xf>
    <xf numFmtId="0" fontId="19" fillId="30" borderId="55" xfId="6" applyFont="1" applyFill="1" applyBorder="1" applyAlignment="1" applyProtection="1">
      <alignment horizontal="left" vertical="center"/>
    </xf>
    <xf numFmtId="3" fontId="19" fillId="30" borderId="24" xfId="6" applyNumberFormat="1" applyFont="1" applyFill="1" applyBorder="1" applyProtection="1">
      <protection locked="0"/>
    </xf>
    <xf numFmtId="0" fontId="16" fillId="30" borderId="138" xfId="6" applyFont="1" applyFill="1" applyBorder="1" applyAlignment="1" applyProtection="1">
      <alignment horizontal="right" vertical="center"/>
    </xf>
    <xf numFmtId="3" fontId="19" fillId="30" borderId="24" xfId="6" applyNumberFormat="1" applyFont="1" applyFill="1" applyBorder="1" applyProtection="1"/>
    <xf numFmtId="0" fontId="0" fillId="0" borderId="0" xfId="0" applyBorder="1"/>
    <xf numFmtId="0" fontId="0" fillId="0" borderId="193" xfId="0" applyBorder="1" applyProtection="1"/>
    <xf numFmtId="0" fontId="0" fillId="0" borderId="155" xfId="0" applyBorder="1"/>
    <xf numFmtId="0" fontId="0" fillId="0" borderId="186" xfId="0" applyBorder="1"/>
    <xf numFmtId="0" fontId="15" fillId="3" borderId="0" xfId="2" applyFill="1" applyProtection="1"/>
    <xf numFmtId="171" fontId="134" fillId="0" borderId="199" xfId="24" applyFont="1" applyBorder="1" applyAlignment="1">
      <alignment vertical="center"/>
    </xf>
    <xf numFmtId="171" fontId="134" fillId="0" borderId="200" xfId="24" applyFont="1" applyBorder="1" applyAlignment="1">
      <alignment vertical="center"/>
    </xf>
    <xf numFmtId="171" fontId="34" fillId="0" borderId="200" xfId="24" applyBorder="1" applyAlignment="1">
      <alignment horizontal="center"/>
    </xf>
    <xf numFmtId="171" fontId="134" fillId="0" borderId="0" xfId="24" applyFont="1" applyAlignment="1">
      <alignment vertical="center"/>
    </xf>
    <xf numFmtId="171" fontId="34" fillId="0" borderId="0" xfId="24"/>
    <xf numFmtId="171" fontId="140" fillId="31" borderId="201" xfId="24" applyFont="1" applyFill="1" applyBorder="1" applyAlignment="1">
      <alignment vertical="center"/>
    </xf>
    <xf numFmtId="171" fontId="140" fillId="31" borderId="202" xfId="24" applyFont="1" applyFill="1" applyBorder="1" applyAlignment="1">
      <alignment vertical="center"/>
    </xf>
    <xf numFmtId="171" fontId="141" fillId="31" borderId="202" xfId="24" applyFont="1" applyFill="1" applyBorder="1"/>
    <xf numFmtId="171" fontId="140" fillId="31" borderId="203" xfId="24" applyFont="1" applyFill="1" applyBorder="1" applyAlignment="1">
      <alignment vertical="center"/>
    </xf>
    <xf numFmtId="171" fontId="134" fillId="0" borderId="204" xfId="24" applyFont="1" applyBorder="1" applyAlignment="1">
      <alignment vertical="center"/>
    </xf>
    <xf numFmtId="171" fontId="134" fillId="32" borderId="204" xfId="24" applyFont="1" applyFill="1" applyBorder="1" applyAlignment="1">
      <alignment vertical="center"/>
    </xf>
    <xf numFmtId="171" fontId="34" fillId="0" borderId="0" xfId="24" applyAlignment="1">
      <alignment horizontal="center"/>
    </xf>
    <xf numFmtId="171" fontId="142" fillId="33" borderId="205" xfId="24" applyFont="1" applyFill="1" applyBorder="1" applyAlignment="1">
      <alignment vertical="center"/>
    </xf>
    <xf numFmtId="1" fontId="142" fillId="0" borderId="206" xfId="24" applyNumberFormat="1" applyFont="1" applyBorder="1" applyAlignment="1">
      <alignment vertical="center"/>
    </xf>
    <xf numFmtId="1" fontId="143" fillId="0" borderId="206" xfId="24" applyNumberFormat="1" applyFont="1" applyBorder="1"/>
    <xf numFmtId="173" fontId="142" fillId="0" borderId="206" xfId="24" applyNumberFormat="1" applyFont="1" applyBorder="1" applyAlignment="1">
      <alignment vertical="center"/>
    </xf>
    <xf numFmtId="171" fontId="143" fillId="0" borderId="207" xfId="24" applyFont="1" applyBorder="1"/>
    <xf numFmtId="174" fontId="143" fillId="0" borderId="207" xfId="24" applyNumberFormat="1" applyFont="1" applyBorder="1"/>
    <xf numFmtId="171" fontId="144" fillId="0" borderId="0" xfId="24" applyFont="1" applyAlignment="1">
      <alignment horizontal="right" vertical="center"/>
    </xf>
    <xf numFmtId="171" fontId="144" fillId="32" borderId="0" xfId="24" applyFont="1" applyFill="1" applyAlignment="1">
      <alignment vertical="center"/>
    </xf>
    <xf numFmtId="171" fontId="146" fillId="0" borderId="0" xfId="24" applyFont="1" applyAlignment="1">
      <alignment horizontal="center" vertical="top" wrapText="1"/>
    </xf>
    <xf numFmtId="171" fontId="145" fillId="0" borderId="0" xfId="24" applyFont="1" applyAlignment="1">
      <alignment horizontal="left" vertical="center" readingOrder="1"/>
    </xf>
    <xf numFmtId="171" fontId="134" fillId="32" borderId="0" xfId="24" applyFont="1" applyFill="1" applyAlignment="1">
      <alignment vertical="center"/>
    </xf>
    <xf numFmtId="10" fontId="145" fillId="0" borderId="0" xfId="24" applyNumberFormat="1" applyFont="1" applyAlignment="1">
      <alignment vertical="top" wrapText="1"/>
    </xf>
    <xf numFmtId="171" fontId="8" fillId="0" borderId="0" xfId="24" applyFont="1"/>
    <xf numFmtId="175" fontId="152" fillId="0" borderId="0" xfId="33" applyNumberFormat="1" applyFont="1" applyAlignment="1">
      <alignment horizontal="right" vertical="center" indent="1"/>
    </xf>
    <xf numFmtId="171" fontId="154" fillId="0" borderId="0" xfId="24" applyFont="1"/>
    <xf numFmtId="171" fontId="155" fillId="0" borderId="0" xfId="24" applyFont="1" applyAlignment="1">
      <alignment horizontal="center" vertical="center"/>
    </xf>
    <xf numFmtId="9" fontId="152" fillId="34" borderId="0" xfId="24" applyNumberFormat="1" applyFont="1" applyFill="1" applyAlignment="1">
      <alignment horizontal="center" vertical="center"/>
    </xf>
    <xf numFmtId="171" fontId="147" fillId="0" borderId="0" xfId="24" applyFont="1" applyAlignment="1">
      <alignment vertical="center"/>
    </xf>
    <xf numFmtId="9" fontId="152" fillId="0" borderId="0" xfId="24" applyNumberFormat="1" applyFont="1" applyAlignment="1">
      <alignment horizontal="center" vertical="center"/>
    </xf>
    <xf numFmtId="171" fontId="160" fillId="0" borderId="0" xfId="24" applyFont="1" applyAlignment="1">
      <alignment horizontal="left" vertical="center" wrapText="1"/>
    </xf>
    <xf numFmtId="171" fontId="161" fillId="0" borderId="0" xfId="24" applyFont="1" applyAlignment="1">
      <alignment vertical="center"/>
    </xf>
    <xf numFmtId="171" fontId="142" fillId="36" borderId="205" xfId="24" applyFont="1" applyFill="1" applyBorder="1" applyAlignment="1">
      <alignment vertical="center"/>
    </xf>
    <xf numFmtId="171" fontId="164" fillId="0" borderId="0" xfId="24" applyFont="1" applyAlignment="1">
      <alignment horizontal="left" vertical="center"/>
    </xf>
    <xf numFmtId="171" fontId="165" fillId="0" borderId="0" xfId="24" applyFont="1" applyAlignment="1">
      <alignment vertical="center"/>
    </xf>
    <xf numFmtId="171" fontId="155" fillId="0" borderId="0" xfId="24" applyFont="1" applyAlignment="1">
      <alignment horizontal="center" vertical="center" wrapText="1"/>
    </xf>
    <xf numFmtId="171" fontId="145" fillId="0" borderId="0" xfId="24" applyFont="1" applyAlignment="1">
      <alignment vertical="top" wrapText="1"/>
    </xf>
    <xf numFmtId="171" fontId="172" fillId="0" borderId="0" xfId="24" applyFont="1" applyAlignment="1">
      <alignment vertical="center"/>
    </xf>
    <xf numFmtId="171" fontId="2" fillId="0" borderId="0" xfId="35"/>
    <xf numFmtId="175" fontId="152" fillId="0" borderId="0" xfId="33" quotePrefix="1" applyNumberFormat="1" applyFont="1" applyAlignment="1">
      <alignment horizontal="right" vertical="center" indent="1"/>
    </xf>
    <xf numFmtId="171" fontId="136" fillId="0" borderId="0" xfId="24" quotePrefix="1" applyFont="1" applyAlignment="1">
      <alignment vertical="center" wrapText="1"/>
    </xf>
    <xf numFmtId="171" fontId="165" fillId="0" borderId="0" xfId="24" applyFont="1" applyAlignment="1">
      <alignment vertical="center" wrapText="1"/>
    </xf>
    <xf numFmtId="171" fontId="134" fillId="0" borderId="0" xfId="24" applyFont="1" applyAlignment="1">
      <alignment vertical="center" wrapText="1"/>
    </xf>
    <xf numFmtId="171" fontId="142" fillId="38" borderId="205" xfId="24" applyFont="1" applyFill="1" applyBorder="1" applyAlignment="1">
      <alignment vertical="center"/>
    </xf>
    <xf numFmtId="171" fontId="136" fillId="0" borderId="0" xfId="24" quotePrefix="1" applyFont="1" applyAlignment="1">
      <alignment horizontal="right" vertical="center" wrapText="1" indent="4"/>
    </xf>
    <xf numFmtId="171" fontId="180" fillId="0" borderId="0" xfId="24" applyFont="1" applyAlignment="1">
      <alignment vertical="center" wrapText="1" readingOrder="1"/>
    </xf>
    <xf numFmtId="171" fontId="144" fillId="0" borderId="0" xfId="24" applyFont="1" applyAlignment="1">
      <alignment vertical="center"/>
    </xf>
    <xf numFmtId="171" fontId="184" fillId="0" borderId="0" xfId="24" applyFont="1" applyAlignment="1">
      <alignment vertical="center" wrapText="1" readingOrder="1"/>
    </xf>
    <xf numFmtId="171" fontId="187" fillId="0" borderId="0" xfId="24" applyFont="1" applyAlignment="1">
      <alignment vertical="center"/>
    </xf>
    <xf numFmtId="171" fontId="152" fillId="0" borderId="0" xfId="24" applyFont="1" applyAlignment="1">
      <alignment vertical="top" wrapText="1"/>
    </xf>
    <xf numFmtId="9" fontId="156" fillId="0" borderId="0" xfId="32" applyFont="1" applyAlignment="1">
      <alignment vertical="center"/>
    </xf>
    <xf numFmtId="171" fontId="156" fillId="0" borderId="0" xfId="24" applyFont="1" applyAlignment="1">
      <alignment vertical="center"/>
    </xf>
    <xf numFmtId="2" fontId="147" fillId="0" borderId="0" xfId="24" applyNumberFormat="1" applyFont="1" applyAlignment="1">
      <alignment vertical="center"/>
    </xf>
    <xf numFmtId="171" fontId="152" fillId="0" borderId="0" xfId="24" applyFont="1" applyAlignment="1">
      <alignment vertical="center"/>
    </xf>
    <xf numFmtId="171" fontId="4" fillId="0" borderId="0" xfId="24" applyFont="1" applyAlignment="1">
      <alignment horizontal="left" vertical="center"/>
    </xf>
    <xf numFmtId="171" fontId="134" fillId="0" borderId="0" xfId="24" applyFont="1" applyAlignment="1">
      <alignment horizontal="left" vertical="center"/>
    </xf>
    <xf numFmtId="171" fontId="168" fillId="0" borderId="0" xfId="24" applyFont="1" applyAlignment="1">
      <alignment vertical="center"/>
    </xf>
    <xf numFmtId="171" fontId="142" fillId="30" borderId="205" xfId="24" applyFont="1" applyFill="1" applyBorder="1" applyAlignment="1">
      <alignment vertical="center"/>
    </xf>
    <xf numFmtId="177" fontId="192" fillId="0" borderId="0" xfId="24" applyNumberFormat="1" applyFont="1" applyAlignment="1">
      <alignment vertical="center" wrapText="1" readingOrder="1"/>
    </xf>
    <xf numFmtId="171" fontId="144" fillId="32" borderId="0" xfId="24" applyFont="1" applyFill="1" applyAlignment="1">
      <alignment horizontal="right" vertical="center"/>
    </xf>
    <xf numFmtId="171" fontId="193" fillId="0" borderId="0" xfId="24" applyFont="1" applyAlignment="1">
      <alignment vertical="center" wrapText="1"/>
    </xf>
    <xf numFmtId="171" fontId="144" fillId="0" borderId="0" xfId="24" applyFont="1" applyAlignment="1">
      <alignment horizontal="right" vertical="center"/>
    </xf>
    <xf numFmtId="171" fontId="189" fillId="0" borderId="0" xfId="24" applyFont="1" applyAlignment="1">
      <alignment vertical="center" wrapText="1"/>
    </xf>
    <xf numFmtId="171" fontId="134" fillId="34" borderId="0" xfId="24" applyFont="1" applyFill="1" applyAlignment="1">
      <alignment horizontal="right" vertical="center"/>
    </xf>
    <xf numFmtId="9" fontId="134" fillId="34" borderId="0" xfId="24" applyNumberFormat="1" applyFont="1" applyFill="1" applyAlignment="1">
      <alignment horizontal="right" vertical="center"/>
    </xf>
    <xf numFmtId="171" fontId="152" fillId="0" borderId="0" xfId="24" applyFont="1" applyAlignment="1">
      <alignment wrapText="1"/>
    </xf>
    <xf numFmtId="171" fontId="134" fillId="0" borderId="0" xfId="24" applyFont="1" applyAlignment="1">
      <alignment horizontal="right" vertical="center"/>
    </xf>
    <xf numFmtId="9" fontId="134" fillId="0" borderId="0" xfId="24" applyNumberFormat="1" applyFont="1" applyAlignment="1">
      <alignment horizontal="right" vertical="center"/>
    </xf>
    <xf numFmtId="171" fontId="152" fillId="0" borderId="0" xfId="24" applyFont="1" applyAlignment="1">
      <alignment horizontal="center"/>
    </xf>
    <xf numFmtId="171" fontId="142" fillId="39" borderId="205" xfId="24" applyFont="1" applyFill="1" applyBorder="1" applyAlignment="1">
      <alignment vertical="center"/>
    </xf>
    <xf numFmtId="177" fontId="194" fillId="0" borderId="0" xfId="24" applyNumberFormat="1" applyFont="1" applyAlignment="1">
      <alignment vertical="center" wrapText="1"/>
    </xf>
    <xf numFmtId="171" fontId="2" fillId="0" borderId="218" xfId="35" applyBorder="1"/>
    <xf numFmtId="171" fontId="200" fillId="0" borderId="0" xfId="24" applyFont="1" applyAlignment="1">
      <alignment horizontal="right" vertical="center"/>
    </xf>
    <xf numFmtId="171" fontId="139" fillId="0" borderId="0" xfId="24" applyFont="1" applyAlignment="1">
      <alignment horizontal="right" vertical="center"/>
    </xf>
    <xf numFmtId="171" fontId="192" fillId="0" borderId="0" xfId="24" applyFont="1" applyAlignment="1">
      <alignment horizontal="justify" wrapText="1"/>
    </xf>
    <xf numFmtId="3" fontId="134" fillId="0" borderId="0" xfId="24" applyNumberFormat="1" applyFont="1" applyAlignment="1">
      <alignment vertical="center"/>
    </xf>
    <xf numFmtId="171" fontId="146" fillId="0" borderId="0" xfId="24" applyFont="1" applyAlignment="1">
      <alignment horizontal="left" vertical="center" indent="2"/>
    </xf>
    <xf numFmtId="171" fontId="142" fillId="40" borderId="205" xfId="24" applyFont="1" applyFill="1" applyBorder="1" applyAlignment="1">
      <alignment vertical="center"/>
    </xf>
    <xf numFmtId="171" fontId="146" fillId="0" borderId="0" xfId="24" applyFont="1" applyAlignment="1">
      <alignment vertical="center"/>
    </xf>
    <xf numFmtId="171" fontId="202" fillId="0" borderId="0" xfId="24" applyFont="1" applyAlignment="1">
      <alignment vertical="top" wrapText="1"/>
    </xf>
    <xf numFmtId="180" fontId="168" fillId="0" borderId="0" xfId="24" applyNumberFormat="1" applyFont="1" applyAlignment="1">
      <alignment vertical="center"/>
    </xf>
    <xf numFmtId="180" fontId="203" fillId="0" borderId="0" xfId="24" applyNumberFormat="1" applyFont="1" applyAlignment="1">
      <alignment vertical="center"/>
    </xf>
    <xf numFmtId="182" fontId="2" fillId="0" borderId="218" xfId="35" applyNumberFormat="1" applyBorder="1"/>
    <xf numFmtId="171" fontId="134" fillId="0" borderId="0" xfId="24" applyFont="1" applyAlignment="1">
      <alignment horizontal="justify" vertical="center"/>
    </xf>
    <xf numFmtId="171" fontId="34" fillId="0" borderId="0" xfId="24" applyAlignment="1">
      <alignment wrapText="1"/>
    </xf>
    <xf numFmtId="177" fontId="145" fillId="0" borderId="0" xfId="24" applyNumberFormat="1" applyFont="1" applyAlignment="1">
      <alignment vertical="top" wrapText="1"/>
    </xf>
    <xf numFmtId="171" fontId="146" fillId="0" borderId="0" xfId="24" applyFont="1" applyAlignment="1">
      <alignment horizontal="center" vertical="center"/>
    </xf>
    <xf numFmtId="171" fontId="204" fillId="0" borderId="0" xfId="24" applyFont="1" applyAlignment="1">
      <alignment horizontal="left" vertical="center" readingOrder="1"/>
    </xf>
    <xf numFmtId="171" fontId="205" fillId="0" borderId="0" xfId="24" applyFont="1" applyAlignment="1">
      <alignment vertical="center" readingOrder="1"/>
    </xf>
    <xf numFmtId="171" fontId="134" fillId="0" borderId="0" xfId="24" applyFont="1" applyAlignment="1">
      <alignment horizontal="left" vertical="center" indent="1"/>
    </xf>
    <xf numFmtId="171" fontId="34" fillId="0" borderId="0" xfId="24" applyAlignment="1">
      <alignment horizontal="left"/>
    </xf>
    <xf numFmtId="171" fontId="146" fillId="0" borderId="0" xfId="24" quotePrefix="1" applyFont="1" applyAlignment="1">
      <alignment horizontal="left" vertical="center" indent="2"/>
    </xf>
    <xf numFmtId="171" fontId="195" fillId="0" borderId="0" xfId="24" applyFont="1" applyAlignment="1">
      <alignment horizontal="justify" vertical="center" readingOrder="1"/>
    </xf>
    <xf numFmtId="171" fontId="154" fillId="0" borderId="199" xfId="24" applyFont="1" applyBorder="1" applyAlignment="1">
      <alignment vertical="center" wrapText="1"/>
    </xf>
    <xf numFmtId="171" fontId="201" fillId="0" borderId="0" xfId="24" applyFont="1" applyAlignment="1">
      <alignment horizontal="left" vertical="center" readingOrder="1"/>
    </xf>
    <xf numFmtId="171" fontId="208" fillId="0" borderId="224" xfId="24" applyFont="1" applyBorder="1" applyAlignment="1">
      <alignment horizontal="center" vertical="center"/>
    </xf>
    <xf numFmtId="171" fontId="208" fillId="0" borderId="225" xfId="24" applyFont="1" applyBorder="1" applyAlignment="1">
      <alignment horizontal="center" vertical="center"/>
    </xf>
    <xf numFmtId="171" fontId="154" fillId="0" borderId="0" xfId="24" applyFont="1" applyAlignment="1">
      <alignment vertical="center" wrapText="1"/>
    </xf>
    <xf numFmtId="184" fontId="168" fillId="0" borderId="227" xfId="32" applyNumberFormat="1" applyFont="1" applyBorder="1" applyAlignment="1">
      <alignment horizontal="right" vertical="center" indent="1"/>
    </xf>
    <xf numFmtId="184" fontId="168" fillId="0" borderId="228" xfId="32" applyNumberFormat="1" applyFont="1" applyBorder="1" applyAlignment="1">
      <alignment horizontal="right" vertical="center" indent="1"/>
    </xf>
    <xf numFmtId="171" fontId="194" fillId="0" borderId="0" xfId="24" applyFont="1" applyAlignment="1">
      <alignment vertical="top" wrapText="1"/>
    </xf>
    <xf numFmtId="184" fontId="168" fillId="37" borderId="230" xfId="32" applyNumberFormat="1" applyFont="1" applyFill="1" applyBorder="1" applyAlignment="1">
      <alignment horizontal="right" vertical="center" indent="1"/>
    </xf>
    <xf numFmtId="184" fontId="168" fillId="37" borderId="231" xfId="32" applyNumberFormat="1" applyFont="1" applyFill="1" applyBorder="1" applyAlignment="1">
      <alignment horizontal="right" vertical="center" indent="1"/>
    </xf>
    <xf numFmtId="171" fontId="161" fillId="0" borderId="0" xfId="24" applyFont="1" applyAlignment="1">
      <alignment vertical="top" wrapText="1"/>
    </xf>
    <xf numFmtId="171" fontId="152" fillId="0" borderId="0" xfId="24" applyFont="1" applyAlignment="1">
      <alignment vertical="center" wrapText="1"/>
    </xf>
    <xf numFmtId="184" fontId="168" fillId="0" borderId="230" xfId="32" applyNumberFormat="1" applyFont="1" applyBorder="1" applyAlignment="1">
      <alignment horizontal="right" vertical="center" indent="1"/>
    </xf>
    <xf numFmtId="184" fontId="168" fillId="0" borderId="231" xfId="32" applyNumberFormat="1" applyFont="1" applyBorder="1" applyAlignment="1">
      <alignment horizontal="right" vertical="center" indent="1"/>
    </xf>
    <xf numFmtId="171" fontId="210" fillId="0" borderId="0" xfId="24" applyFont="1" applyAlignment="1">
      <alignment horizontal="left" vertical="center" indent="1" readingOrder="1"/>
    </xf>
    <xf numFmtId="185" fontId="134" fillId="0" borderId="199" xfId="24" applyNumberFormat="1" applyFont="1" applyBorder="1" applyAlignment="1">
      <alignment vertical="center"/>
    </xf>
    <xf numFmtId="171" fontId="2" fillId="0" borderId="232" xfId="35" applyBorder="1"/>
    <xf numFmtId="171" fontId="211" fillId="0" borderId="0" xfId="24" applyFont="1" applyAlignment="1">
      <alignment horizontal="left" vertical="center" indent="1" readingOrder="1"/>
    </xf>
    <xf numFmtId="171" fontId="201" fillId="0" borderId="0" xfId="24" applyFont="1" applyAlignment="1">
      <alignment vertical="center" readingOrder="1"/>
    </xf>
    <xf numFmtId="171" fontId="142" fillId="41" borderId="205" xfId="24" applyFont="1" applyFill="1" applyBorder="1" applyAlignment="1">
      <alignment vertical="center"/>
    </xf>
    <xf numFmtId="171" fontId="57" fillId="0" borderId="0" xfId="24" applyFont="1" applyAlignment="1">
      <alignment vertical="top" wrapText="1" readingOrder="1"/>
    </xf>
    <xf numFmtId="175" fontId="152" fillId="0" borderId="0" xfId="33" applyNumberFormat="1" applyFont="1" applyAlignment="1">
      <alignment horizontal="right" vertical="center" wrapText="1" indent="1"/>
    </xf>
    <xf numFmtId="184" fontId="168" fillId="37" borderId="234" xfId="32" applyNumberFormat="1" applyFont="1" applyFill="1" applyBorder="1" applyAlignment="1">
      <alignment horizontal="right" vertical="center" indent="1"/>
    </xf>
    <xf numFmtId="184" fontId="168" fillId="37" borderId="235" xfId="32" applyNumberFormat="1" applyFont="1" applyFill="1" applyBorder="1" applyAlignment="1">
      <alignment horizontal="right" vertical="center" indent="1"/>
    </xf>
    <xf numFmtId="172" fontId="213" fillId="0" borderId="0" xfId="33" applyFont="1" applyAlignment="1">
      <alignment vertical="center"/>
    </xf>
    <xf numFmtId="171" fontId="147" fillId="0" borderId="0" xfId="24" applyFont="1" applyAlignment="1">
      <alignment vertical="top" wrapText="1"/>
    </xf>
    <xf numFmtId="171" fontId="145" fillId="0" borderId="0" xfId="24" applyFont="1" applyAlignment="1">
      <alignment horizontal="left" vertical="center" shrinkToFit="1" readingOrder="1"/>
    </xf>
    <xf numFmtId="9" fontId="208" fillId="0" borderId="224" xfId="32" applyFont="1" applyBorder="1" applyAlignment="1">
      <alignment horizontal="right" vertical="center" indent="1"/>
    </xf>
    <xf numFmtId="9" fontId="208" fillId="0" borderId="225" xfId="32" applyFont="1" applyBorder="1" applyAlignment="1">
      <alignment horizontal="right" vertical="center" indent="1"/>
    </xf>
    <xf numFmtId="171" fontId="139" fillId="0" borderId="0" xfId="24" applyFont="1" applyAlignment="1">
      <alignment vertical="center"/>
    </xf>
    <xf numFmtId="171" fontId="214" fillId="0" borderId="0" xfId="24" applyFont="1" applyAlignment="1">
      <alignment vertical="center" wrapText="1"/>
    </xf>
    <xf numFmtId="4" fontId="215" fillId="0" borderId="0" xfId="24" applyNumberFormat="1" applyFont="1" applyAlignment="1">
      <alignment vertical="center" wrapText="1"/>
    </xf>
    <xf numFmtId="0" fontId="165" fillId="0" borderId="0" xfId="36" applyFont="1" applyAlignment="1">
      <alignment vertical="center" wrapText="1"/>
    </xf>
    <xf numFmtId="171" fontId="191" fillId="0" borderId="0" xfId="24" applyFont="1" applyAlignment="1">
      <alignment horizontal="center" vertical="center"/>
    </xf>
    <xf numFmtId="171" fontId="191" fillId="0" borderId="0" xfId="24" applyFont="1" applyAlignment="1">
      <alignment vertical="center"/>
    </xf>
    <xf numFmtId="171" fontId="195" fillId="0" borderId="0" xfId="24" applyFont="1" applyAlignment="1">
      <alignment vertical="center" shrinkToFit="1" readingOrder="1"/>
    </xf>
    <xf numFmtId="3" fontId="165" fillId="0" borderId="236" xfId="36" applyNumberFormat="1" applyFont="1" applyBorder="1"/>
    <xf numFmtId="181" fontId="134" fillId="0" borderId="0" xfId="24" applyNumberFormat="1" applyFont="1" applyAlignment="1">
      <alignment wrapText="1"/>
    </xf>
    <xf numFmtId="0" fontId="152" fillId="0" borderId="0" xfId="36" applyFont="1" applyAlignment="1">
      <alignment vertical="center"/>
    </xf>
    <xf numFmtId="0" fontId="152" fillId="0" borderId="0" xfId="36" applyFont="1" applyAlignment="1">
      <alignment vertical="center" wrapText="1"/>
    </xf>
    <xf numFmtId="3" fontId="165" fillId="0" borderId="0" xfId="36" applyNumberFormat="1" applyFont="1"/>
    <xf numFmtId="0" fontId="147" fillId="0" borderId="0" xfId="36" applyFont="1" applyAlignment="1">
      <alignment wrapText="1"/>
    </xf>
    <xf numFmtId="171" fontId="200" fillId="0" borderId="0" xfId="24" applyFont="1" applyAlignment="1">
      <alignment vertical="center"/>
    </xf>
    <xf numFmtId="171" fontId="208" fillId="0" borderId="213" xfId="24" applyFont="1" applyBorder="1" applyAlignment="1">
      <alignment vertical="center"/>
    </xf>
    <xf numFmtId="171" fontId="151" fillId="0" borderId="0" xfId="24" applyFont="1" applyAlignment="1">
      <alignment vertical="center" wrapText="1" readingOrder="1"/>
    </xf>
    <xf numFmtId="187" fontId="152" fillId="0" borderId="0" xfId="24" applyNumberFormat="1" applyFont="1" applyAlignment="1">
      <alignment horizontal="center" vertical="center" shrinkToFit="1"/>
    </xf>
    <xf numFmtId="0" fontId="152" fillId="0" borderId="221" xfId="36" applyFont="1" applyBorder="1" applyAlignment="1">
      <alignment vertical="center"/>
    </xf>
    <xf numFmtId="3" fontId="165" fillId="0" borderId="221" xfId="36" applyNumberFormat="1" applyFont="1" applyBorder="1"/>
    <xf numFmtId="171" fontId="220" fillId="0" borderId="0" xfId="24" applyFont="1" applyAlignment="1">
      <alignment vertical="center"/>
    </xf>
    <xf numFmtId="171" fontId="217" fillId="0" borderId="0" xfId="24" applyFont="1" applyAlignment="1">
      <alignment wrapText="1"/>
    </xf>
    <xf numFmtId="171" fontId="182" fillId="0" borderId="0" xfId="24" applyFont="1" applyAlignment="1">
      <alignment vertical="top" wrapText="1"/>
    </xf>
    <xf numFmtId="171" fontId="134" fillId="0" borderId="218" xfId="24" applyFont="1" applyBorder="1" applyAlignment="1">
      <alignment vertical="center"/>
    </xf>
    <xf numFmtId="171" fontId="136" fillId="0" borderId="0" xfId="24" applyFont="1" applyAlignment="1">
      <alignment vertical="center" wrapText="1" readingOrder="1"/>
    </xf>
    <xf numFmtId="9" fontId="152" fillId="32" borderId="0" xfId="24" applyNumberFormat="1" applyFont="1" applyFill="1" applyAlignment="1">
      <alignment horizontal="center" vertical="center"/>
    </xf>
    <xf numFmtId="171" fontId="142" fillId="0" borderId="237" xfId="24" applyFont="1" applyBorder="1" applyAlignment="1">
      <alignment vertical="center"/>
    </xf>
    <xf numFmtId="171" fontId="220" fillId="0" borderId="0" xfId="24" applyFont="1" applyAlignment="1">
      <alignment vertical="top" wrapText="1"/>
    </xf>
    <xf numFmtId="0" fontId="147" fillId="0" borderId="0" xfId="36" applyFont="1" applyAlignment="1">
      <alignment vertical="top" wrapText="1"/>
    </xf>
    <xf numFmtId="171" fontId="142" fillId="0" borderId="205" xfId="24" applyFont="1" applyBorder="1" applyAlignment="1">
      <alignment vertical="center"/>
    </xf>
    <xf numFmtId="171" fontId="224" fillId="31" borderId="238" xfId="24" applyFont="1" applyFill="1" applyBorder="1" applyAlignment="1">
      <alignment horizontal="center" vertical="center"/>
    </xf>
    <xf numFmtId="1" fontId="224" fillId="31" borderId="239" xfId="30" applyNumberFormat="1" applyFont="1" applyFill="1" applyBorder="1" applyAlignment="1">
      <alignment vertical="center"/>
    </xf>
    <xf numFmtId="171" fontId="225" fillId="0" borderId="0" xfId="24" applyFont="1" applyAlignment="1" applyProtection="1">
      <alignment horizontal="center" vertical="center"/>
      <protection hidden="1"/>
    </xf>
    <xf numFmtId="2" fontId="34" fillId="0" borderId="0" xfId="24" applyNumberFormat="1" applyAlignment="1">
      <alignment horizontal="center"/>
    </xf>
    <xf numFmtId="2" fontId="152" fillId="0" borderId="0" xfId="24" applyNumberFormat="1" applyFont="1" applyAlignment="1">
      <alignment horizontal="center" vertical="center"/>
    </xf>
    <xf numFmtId="171" fontId="152" fillId="0" borderId="0" xfId="24" applyFont="1" applyAlignment="1">
      <alignment horizontal="center" vertical="center"/>
    </xf>
    <xf numFmtId="171" fontId="142" fillId="0" borderId="0" xfId="24" applyFont="1" applyAlignment="1">
      <alignment vertical="center"/>
    </xf>
    <xf numFmtId="1" fontId="142" fillId="0" borderId="0" xfId="24" applyNumberFormat="1" applyFont="1" applyAlignment="1">
      <alignment vertical="center"/>
    </xf>
    <xf numFmtId="1" fontId="143" fillId="0" borderId="0" xfId="24" applyNumberFormat="1" applyFont="1"/>
    <xf numFmtId="173" fontId="142" fillId="0" borderId="0" xfId="24" applyNumberFormat="1" applyFont="1" applyAlignment="1">
      <alignment vertical="center"/>
    </xf>
    <xf numFmtId="171" fontId="143" fillId="0" borderId="0" xfId="24" applyFont="1"/>
    <xf numFmtId="174" fontId="143" fillId="0" borderId="0" xfId="24" applyNumberFormat="1" applyFont="1"/>
    <xf numFmtId="171" fontId="226" fillId="0" borderId="0" xfId="24" applyFont="1" applyAlignment="1">
      <alignment vertical="center"/>
    </xf>
    <xf numFmtId="2" fontId="226" fillId="0" borderId="0" xfId="24" applyNumberFormat="1" applyFont="1" applyAlignment="1" applyProtection="1">
      <alignment vertical="center"/>
      <protection hidden="1"/>
    </xf>
    <xf numFmtId="171" fontId="226" fillId="40" borderId="0" xfId="24" applyFont="1" applyFill="1" applyAlignment="1" applyProtection="1">
      <alignment vertical="center"/>
      <protection hidden="1"/>
    </xf>
    <xf numFmtId="171" fontId="226" fillId="40" borderId="0" xfId="24" applyFont="1" applyFill="1" applyAlignment="1">
      <alignment vertical="center"/>
    </xf>
    <xf numFmtId="1" fontId="227" fillId="40" borderId="24" xfId="24" applyNumberFormat="1" applyFont="1" applyFill="1" applyBorder="1"/>
    <xf numFmtId="171" fontId="227" fillId="40" borderId="88" xfId="24" applyFont="1" applyFill="1" applyBorder="1" applyAlignment="1">
      <alignment horizontal="center"/>
    </xf>
    <xf numFmtId="171" fontId="227" fillId="40" borderId="0" xfId="24" applyFont="1" applyFill="1" applyAlignment="1">
      <alignment horizontal="center"/>
    </xf>
    <xf numFmtId="171" fontId="227" fillId="40" borderId="177" xfId="24" applyFont="1" applyFill="1" applyBorder="1" applyAlignment="1">
      <alignment horizontal="center"/>
    </xf>
    <xf numFmtId="171" fontId="134" fillId="0" borderId="0" xfId="24" applyFont="1" applyAlignment="1" applyProtection="1">
      <alignment vertical="center"/>
      <protection hidden="1"/>
    </xf>
    <xf numFmtId="9" fontId="226" fillId="40" borderId="0" xfId="24" applyNumberFormat="1" applyFont="1" applyFill="1" applyAlignment="1" applyProtection="1">
      <alignment vertical="center"/>
      <protection hidden="1"/>
    </xf>
    <xf numFmtId="188" fontId="226" fillId="40" borderId="0" xfId="24" applyNumberFormat="1" applyFont="1" applyFill="1" applyAlignment="1" applyProtection="1">
      <alignment vertical="center"/>
      <protection hidden="1"/>
    </xf>
    <xf numFmtId="171" fontId="226" fillId="0" borderId="0" xfId="24" applyFont="1" applyAlignment="1" applyProtection="1">
      <alignment vertical="center"/>
      <protection hidden="1"/>
    </xf>
    <xf numFmtId="1" fontId="225" fillId="40" borderId="88" xfId="24" applyNumberFormat="1" applyFont="1" applyFill="1" applyBorder="1" applyAlignment="1">
      <alignment vertical="center"/>
    </xf>
    <xf numFmtId="1" fontId="227" fillId="40" borderId="0" xfId="24" applyNumberFormat="1" applyFont="1" applyFill="1" applyAlignment="1">
      <alignment horizontal="center"/>
    </xf>
    <xf numFmtId="1" fontId="225" fillId="40" borderId="177" xfId="24" applyNumberFormat="1" applyFont="1" applyFill="1" applyBorder="1" applyAlignment="1">
      <alignment vertical="center"/>
    </xf>
    <xf numFmtId="9" fontId="226" fillId="40" borderId="0" xfId="32" applyFont="1" applyFill="1" applyAlignment="1" applyProtection="1">
      <alignment vertical="center"/>
      <protection hidden="1"/>
    </xf>
    <xf numFmtId="2" fontId="226" fillId="40" borderId="0" xfId="30" applyNumberFormat="1" applyFont="1" applyFill="1" applyAlignment="1" applyProtection="1">
      <alignment vertical="center"/>
      <protection hidden="1"/>
    </xf>
    <xf numFmtId="1" fontId="225" fillId="40" borderId="122" xfId="24" applyNumberFormat="1" applyFont="1" applyFill="1" applyBorder="1" applyAlignment="1">
      <alignment vertical="center"/>
    </xf>
    <xf numFmtId="1" fontId="227" fillId="40" borderId="25" xfId="24" applyNumberFormat="1" applyFont="1" applyFill="1" applyBorder="1" applyAlignment="1">
      <alignment horizontal="center"/>
    </xf>
    <xf numFmtId="1" fontId="225" fillId="40" borderId="147" xfId="24" applyNumberFormat="1" applyFont="1" applyFill="1" applyBorder="1" applyAlignment="1">
      <alignment vertical="center"/>
    </xf>
    <xf numFmtId="171" fontId="225" fillId="40" borderId="0" xfId="24" applyFont="1" applyFill="1" applyAlignment="1">
      <alignment vertical="center"/>
    </xf>
    <xf numFmtId="171" fontId="134" fillId="40" borderId="0" xfId="24" applyFont="1" applyFill="1" applyAlignment="1">
      <alignment vertical="center"/>
    </xf>
    <xf numFmtId="170" fontId="226" fillId="40" borderId="0" xfId="30" applyNumberFormat="1" applyFont="1" applyFill="1" applyAlignment="1" applyProtection="1">
      <alignment vertical="center"/>
      <protection hidden="1"/>
    </xf>
    <xf numFmtId="171" fontId="134" fillId="40" borderId="0" xfId="24" applyFont="1" applyFill="1" applyAlignment="1" applyProtection="1">
      <alignment vertical="center"/>
      <protection hidden="1"/>
    </xf>
    <xf numFmtId="175" fontId="228" fillId="42" borderId="0" xfId="30" applyNumberFormat="1" applyFont="1" applyFill="1" applyAlignment="1" applyProtection="1">
      <alignment horizontal="center"/>
      <protection hidden="1"/>
    </xf>
    <xf numFmtId="175" fontId="228" fillId="42" borderId="0" xfId="30" applyNumberFormat="1" applyFont="1" applyFill="1" applyProtection="1">
      <protection hidden="1"/>
    </xf>
    <xf numFmtId="171" fontId="225" fillId="0" borderId="0" xfId="24" applyFont="1" applyAlignment="1">
      <alignment vertical="center"/>
    </xf>
    <xf numFmtId="171" fontId="225" fillId="37" borderId="112" xfId="24" applyFont="1" applyFill="1" applyBorder="1" applyAlignment="1">
      <alignment vertical="center"/>
    </xf>
    <xf numFmtId="171" fontId="225" fillId="37" borderId="121" xfId="24" applyFont="1" applyFill="1" applyBorder="1" applyAlignment="1">
      <alignment vertical="center"/>
    </xf>
    <xf numFmtId="171" fontId="225" fillId="37" borderId="113" xfId="24" applyFont="1" applyFill="1" applyBorder="1" applyAlignment="1">
      <alignment vertical="center"/>
    </xf>
    <xf numFmtId="171" fontId="225" fillId="40" borderId="230" xfId="24" applyFont="1" applyFill="1" applyBorder="1" applyAlignment="1">
      <alignment vertical="center" wrapText="1"/>
    </xf>
    <xf numFmtId="171" fontId="134" fillId="0" borderId="0" xfId="24" applyFont="1" applyAlignment="1" applyProtection="1">
      <alignment vertical="center"/>
      <protection locked="0"/>
    </xf>
    <xf numFmtId="1" fontId="34" fillId="40" borderId="24" xfId="24" applyNumberFormat="1" applyFill="1" applyBorder="1"/>
    <xf numFmtId="171" fontId="225" fillId="37" borderId="88" xfId="24" applyFont="1" applyFill="1" applyBorder="1" applyAlignment="1">
      <alignment vertical="center"/>
    </xf>
    <xf numFmtId="3" fontId="225" fillId="37" borderId="0" xfId="24" applyNumberFormat="1" applyFont="1" applyFill="1" applyAlignment="1">
      <alignment vertical="center"/>
    </xf>
    <xf numFmtId="3" fontId="225" fillId="37" borderId="177" xfId="24" quotePrefix="1" applyNumberFormat="1" applyFont="1" applyFill="1" applyBorder="1" applyAlignment="1">
      <alignment vertical="center"/>
    </xf>
    <xf numFmtId="1" fontId="226" fillId="40" borderId="0" xfId="24" quotePrefix="1" applyNumberFormat="1" applyFont="1" applyFill="1" applyAlignment="1">
      <alignment vertical="center"/>
    </xf>
    <xf numFmtId="175" fontId="228" fillId="40" borderId="0" xfId="30" applyNumberFormat="1" applyFont="1" applyFill="1" applyProtection="1">
      <protection hidden="1"/>
    </xf>
    <xf numFmtId="1" fontId="225" fillId="40" borderId="230" xfId="37" applyNumberFormat="1" applyFont="1" applyFill="1" applyBorder="1" applyAlignment="1">
      <alignment vertical="center"/>
    </xf>
    <xf numFmtId="9" fontId="225" fillId="40" borderId="230" xfId="24" applyNumberFormat="1" applyFont="1" applyFill="1" applyBorder="1" applyAlignment="1">
      <alignment vertical="center"/>
    </xf>
    <xf numFmtId="1" fontId="226" fillId="40" borderId="0" xfId="24" applyNumberFormat="1" applyFont="1" applyFill="1" applyAlignment="1">
      <alignment vertical="center"/>
    </xf>
    <xf numFmtId="171" fontId="34" fillId="0" borderId="0" xfId="24" applyProtection="1">
      <protection hidden="1"/>
    </xf>
    <xf numFmtId="171" fontId="228" fillId="40" borderId="0" xfId="24" applyFont="1" applyFill="1" applyProtection="1">
      <protection hidden="1"/>
    </xf>
    <xf numFmtId="171" fontId="134" fillId="30" borderId="0" xfId="24" applyFont="1" applyFill="1" applyAlignment="1">
      <alignment vertical="center"/>
    </xf>
    <xf numFmtId="171" fontId="134" fillId="0" borderId="24" xfId="24" applyFont="1" applyBorder="1" applyAlignment="1">
      <alignment horizontal="center" vertical="center"/>
    </xf>
    <xf numFmtId="171" fontId="225" fillId="0" borderId="0" xfId="24" applyFont="1" applyAlignment="1" applyProtection="1">
      <alignment vertical="center"/>
      <protection hidden="1"/>
    </xf>
    <xf numFmtId="171" fontId="225" fillId="37" borderId="177" xfId="24" applyFont="1" applyFill="1" applyBorder="1" applyAlignment="1">
      <alignment vertical="center"/>
    </xf>
    <xf numFmtId="171" fontId="134" fillId="0" borderId="0" xfId="24" applyFont="1" applyAlignment="1">
      <alignment horizontal="center"/>
    </xf>
    <xf numFmtId="171" fontId="139" fillId="30" borderId="0" xfId="24" applyFont="1" applyFill="1" applyAlignment="1">
      <alignment horizontal="center"/>
    </xf>
    <xf numFmtId="3" fontId="134" fillId="0" borderId="24" xfId="24" applyNumberFormat="1" applyFont="1" applyBorder="1" applyAlignment="1">
      <alignment horizontal="center" vertical="center"/>
    </xf>
    <xf numFmtId="171" fontId="134" fillId="0" borderId="27" xfId="24" applyFont="1" applyBorder="1" applyAlignment="1">
      <alignment horizontal="center" vertical="center"/>
    </xf>
    <xf numFmtId="3" fontId="225" fillId="0" borderId="0" xfId="24" applyNumberFormat="1" applyFont="1" applyAlignment="1">
      <alignment vertical="center"/>
    </xf>
    <xf numFmtId="171" fontId="227" fillId="37" borderId="88" xfId="24" applyFont="1" applyFill="1" applyBorder="1" applyAlignment="1">
      <alignment horizontal="center"/>
    </xf>
    <xf numFmtId="171" fontId="227" fillId="37" borderId="0" xfId="24" applyFont="1" applyFill="1" applyAlignment="1">
      <alignment horizontal="center"/>
    </xf>
    <xf numFmtId="171" fontId="227" fillId="37" borderId="177" xfId="24" applyFont="1" applyFill="1" applyBorder="1" applyAlignment="1">
      <alignment horizontal="center"/>
    </xf>
    <xf numFmtId="10" fontId="34" fillId="0" borderId="0" xfId="24" applyNumberFormat="1" applyProtection="1">
      <protection hidden="1"/>
    </xf>
    <xf numFmtId="171" fontId="139" fillId="30" borderId="0" xfId="24" applyFont="1" applyFill="1" applyAlignment="1">
      <alignment vertical="center"/>
    </xf>
    <xf numFmtId="3" fontId="134" fillId="0" borderId="0" xfId="24" applyNumberFormat="1" applyFont="1" applyAlignment="1">
      <alignment horizontal="center"/>
    </xf>
    <xf numFmtId="3" fontId="134" fillId="0" borderId="0" xfId="24" quotePrefix="1" applyNumberFormat="1" applyFont="1" applyAlignment="1">
      <alignment horizontal="center"/>
    </xf>
    <xf numFmtId="4" fontId="134" fillId="0" borderId="24" xfId="24" applyNumberFormat="1" applyFont="1" applyBorder="1" applyAlignment="1">
      <alignment horizontal="center" vertical="center"/>
    </xf>
    <xf numFmtId="171" fontId="134" fillId="0" borderId="24" xfId="24" applyFont="1" applyBorder="1" applyAlignment="1">
      <alignment vertical="center"/>
    </xf>
    <xf numFmtId="171" fontId="228" fillId="40" borderId="244" xfId="24" applyFont="1" applyFill="1" applyBorder="1" applyAlignment="1" applyProtection="1">
      <alignment wrapText="1"/>
      <protection hidden="1"/>
    </xf>
    <xf numFmtId="171" fontId="229" fillId="40" borderId="244" xfId="24" applyFont="1" applyFill="1" applyBorder="1" applyAlignment="1" applyProtection="1">
      <alignment horizontal="center" wrapText="1"/>
      <protection hidden="1"/>
    </xf>
    <xf numFmtId="171" fontId="229" fillId="40" borderId="0" xfId="24" applyFont="1" applyFill="1" applyAlignment="1" applyProtection="1">
      <alignment horizontal="center" wrapText="1"/>
      <protection hidden="1"/>
    </xf>
    <xf numFmtId="1" fontId="213" fillId="0" borderId="0" xfId="24" applyNumberFormat="1" applyFont="1" applyAlignment="1">
      <alignment horizontal="left" vertical="center"/>
    </xf>
    <xf numFmtId="187" fontId="139" fillId="30" borderId="0" xfId="24" applyNumberFormat="1" applyFont="1" applyFill="1" applyAlignment="1">
      <alignment vertical="center"/>
    </xf>
    <xf numFmtId="9" fontId="139" fillId="30" borderId="0" xfId="24" applyNumberFormat="1" applyFont="1" applyFill="1" applyAlignment="1">
      <alignment vertical="center"/>
    </xf>
    <xf numFmtId="3" fontId="134" fillId="30" borderId="24" xfId="24" applyNumberFormat="1" applyFont="1" applyFill="1" applyBorder="1" applyAlignment="1">
      <alignment horizontal="center" vertical="center"/>
    </xf>
    <xf numFmtId="3" fontId="225" fillId="37" borderId="122" xfId="24" applyNumberFormat="1" applyFont="1" applyFill="1" applyBorder="1" applyAlignment="1" applyProtection="1">
      <alignment vertical="center"/>
      <protection hidden="1"/>
    </xf>
    <xf numFmtId="171" fontId="227" fillId="37" borderId="25" xfId="24" applyFont="1" applyFill="1" applyBorder="1" applyAlignment="1">
      <alignment horizontal="center"/>
    </xf>
    <xf numFmtId="171" fontId="227" fillId="37" borderId="147" xfId="24" applyFont="1" applyFill="1" applyBorder="1" applyAlignment="1">
      <alignment horizontal="center"/>
    </xf>
    <xf numFmtId="171" fontId="228" fillId="40" borderId="244" xfId="24" applyFont="1" applyFill="1" applyBorder="1" applyAlignment="1" applyProtection="1">
      <alignment horizontal="center" vertical="center" wrapText="1"/>
      <protection hidden="1"/>
    </xf>
    <xf numFmtId="171" fontId="229" fillId="40" borderId="244" xfId="24" applyFont="1" applyFill="1" applyBorder="1" applyAlignment="1" applyProtection="1">
      <alignment horizontal="center" vertical="center" wrapText="1"/>
      <protection hidden="1"/>
    </xf>
    <xf numFmtId="189" fontId="225" fillId="0" borderId="0" xfId="24" applyNumberFormat="1" applyFont="1" applyAlignment="1">
      <alignment vertical="center"/>
    </xf>
    <xf numFmtId="171" fontId="230" fillId="40" borderId="244" xfId="24" applyFont="1" applyFill="1" applyBorder="1" applyAlignment="1" applyProtection="1">
      <alignment vertical="center" wrapText="1"/>
      <protection hidden="1"/>
    </xf>
    <xf numFmtId="2" fontId="229" fillId="40" borderId="244" xfId="24" applyNumberFormat="1" applyFont="1" applyFill="1" applyBorder="1" applyAlignment="1" applyProtection="1">
      <alignment wrapText="1"/>
      <protection hidden="1"/>
    </xf>
    <xf numFmtId="3" fontId="2" fillId="12" borderId="24" xfId="36" applyNumberFormat="1" applyFill="1" applyBorder="1" applyAlignment="1">
      <alignment horizontal="center" wrapText="1"/>
    </xf>
    <xf numFmtId="4" fontId="134" fillId="0" borderId="0" xfId="24" applyNumberFormat="1" applyFont="1" applyAlignment="1">
      <alignment horizontal="center" vertical="center"/>
    </xf>
    <xf numFmtId="1" fontId="2" fillId="0" borderId="0" xfId="24" applyNumberFormat="1" applyFont="1" applyAlignment="1" applyProtection="1">
      <alignment vertical="center"/>
      <protection hidden="1"/>
    </xf>
    <xf numFmtId="1" fontId="231" fillId="0" borderId="0" xfId="24" applyNumberFormat="1" applyFont="1" applyAlignment="1" applyProtection="1">
      <alignment horizontal="left" vertical="center"/>
      <protection hidden="1"/>
    </xf>
    <xf numFmtId="171" fontId="231" fillId="0" borderId="0" xfId="24" applyFont="1" applyAlignment="1">
      <alignment vertical="center"/>
    </xf>
    <xf numFmtId="4" fontId="134" fillId="0" borderId="0" xfId="24" quotePrefix="1" applyNumberFormat="1" applyFont="1" applyAlignment="1">
      <alignment horizontal="center" vertical="center"/>
    </xf>
    <xf numFmtId="171" fontId="230" fillId="40" borderId="244" xfId="24" quotePrefix="1" applyFont="1" applyFill="1" applyBorder="1" applyAlignment="1" applyProtection="1">
      <alignment horizontal="left" vertical="center" wrapText="1"/>
      <protection hidden="1"/>
    </xf>
    <xf numFmtId="171" fontId="139" fillId="30" borderId="0" xfId="24" applyFont="1" applyFill="1" applyAlignment="1">
      <alignment horizontal="center" vertical="center"/>
    </xf>
    <xf numFmtId="9" fontId="232" fillId="40" borderId="121" xfId="32" applyFont="1" applyFill="1" applyBorder="1" applyAlignment="1" applyProtection="1">
      <alignment horizontal="right" vertical="center" indent="1"/>
      <protection hidden="1"/>
    </xf>
    <xf numFmtId="1" fontId="232" fillId="40" borderId="121" xfId="24" applyNumberFormat="1" applyFont="1" applyFill="1" applyBorder="1" applyAlignment="1" applyProtection="1">
      <alignment horizontal="right" vertical="center" indent="1"/>
      <protection hidden="1"/>
    </xf>
    <xf numFmtId="1" fontId="232" fillId="40" borderId="113" xfId="24" applyNumberFormat="1" applyFont="1" applyFill="1" applyBorder="1" applyAlignment="1" applyProtection="1">
      <alignment horizontal="right" vertical="center" indent="1"/>
      <protection hidden="1"/>
    </xf>
    <xf numFmtId="171" fontId="230" fillId="40" borderId="244" xfId="24" applyFont="1" applyFill="1" applyBorder="1" applyAlignment="1" applyProtection="1">
      <alignment horizontal="right" vertical="center" wrapText="1"/>
      <protection hidden="1"/>
    </xf>
    <xf numFmtId="9" fontId="139" fillId="30" borderId="0" xfId="24" applyNumberFormat="1" applyFont="1" applyFill="1" applyAlignment="1">
      <alignment horizontal="center" vertical="center"/>
    </xf>
    <xf numFmtId="9" fontId="232" fillId="40" borderId="0" xfId="32" applyFont="1" applyFill="1" applyBorder="1" applyAlignment="1" applyProtection="1">
      <alignment horizontal="right" vertical="center" indent="1"/>
      <protection hidden="1"/>
    </xf>
    <xf numFmtId="1" fontId="232" fillId="40" borderId="0" xfId="24" applyNumberFormat="1" applyFont="1" applyFill="1" applyAlignment="1" applyProtection="1">
      <alignment horizontal="right" vertical="center" indent="1"/>
      <protection hidden="1"/>
    </xf>
    <xf numFmtId="1" fontId="232" fillId="40" borderId="177" xfId="24" applyNumberFormat="1" applyFont="1" applyFill="1" applyBorder="1" applyAlignment="1" applyProtection="1">
      <alignment horizontal="right" vertical="center" indent="1"/>
      <protection hidden="1"/>
    </xf>
    <xf numFmtId="2" fontId="233" fillId="40" borderId="244" xfId="24" applyNumberFormat="1" applyFont="1" applyFill="1" applyBorder="1" applyAlignment="1" applyProtection="1">
      <alignment wrapText="1"/>
      <protection hidden="1"/>
    </xf>
    <xf numFmtId="171" fontId="134" fillId="40" borderId="177" xfId="24" applyFont="1" applyFill="1" applyBorder="1" applyAlignment="1">
      <alignment vertical="center"/>
    </xf>
    <xf numFmtId="171" fontId="134" fillId="0" borderId="0" xfId="24" applyFont="1" applyAlignment="1">
      <alignment horizontal="center" vertical="center"/>
    </xf>
    <xf numFmtId="1" fontId="139" fillId="40" borderId="121" xfId="24" applyNumberFormat="1" applyFont="1" applyFill="1" applyBorder="1" applyAlignment="1" applyProtection="1">
      <alignment horizontal="right" vertical="center" indent="1"/>
      <protection hidden="1"/>
    </xf>
    <xf numFmtId="9" fontId="139" fillId="40" borderId="121" xfId="32" applyFont="1" applyFill="1" applyBorder="1" applyAlignment="1">
      <alignment horizontal="right" vertical="center" wrapText="1" indent="1"/>
    </xf>
    <xf numFmtId="1" fontId="234" fillId="40" borderId="113" xfId="24" applyNumberFormat="1" applyFont="1" applyFill="1" applyBorder="1" applyAlignment="1" applyProtection="1">
      <alignment horizontal="right" vertical="center" indent="1"/>
      <protection hidden="1"/>
    </xf>
    <xf numFmtId="1" fontId="139" fillId="40" borderId="0" xfId="24" applyNumberFormat="1" applyFont="1" applyFill="1" applyAlignment="1" applyProtection="1">
      <alignment horizontal="right" vertical="center" indent="1"/>
      <protection hidden="1"/>
    </xf>
    <xf numFmtId="9" fontId="139" fillId="40" borderId="0" xfId="32" applyFont="1" applyFill="1" applyBorder="1" applyAlignment="1">
      <alignment horizontal="right" vertical="center" wrapText="1" indent="1"/>
    </xf>
    <xf numFmtId="1" fontId="234" fillId="40" borderId="177" xfId="24" applyNumberFormat="1" applyFont="1" applyFill="1" applyBorder="1" applyAlignment="1" applyProtection="1">
      <alignment horizontal="right" vertical="center" indent="1"/>
      <protection hidden="1"/>
    </xf>
    <xf numFmtId="171" fontId="235" fillId="40" borderId="27" xfId="24" applyFont="1" applyFill="1" applyBorder="1" applyAlignment="1" applyProtection="1">
      <alignment vertical="center"/>
      <protection hidden="1"/>
    </xf>
    <xf numFmtId="171" fontId="134" fillId="40" borderId="113" xfId="24" applyFont="1" applyFill="1" applyBorder="1" applyAlignment="1">
      <alignment vertical="center"/>
    </xf>
    <xf numFmtId="171" fontId="226" fillId="40" borderId="88" xfId="24" applyFont="1" applyFill="1" applyBorder="1" applyAlignment="1" applyProtection="1">
      <alignment vertical="center"/>
      <protection hidden="1"/>
    </xf>
    <xf numFmtId="9" fontId="226" fillId="40" borderId="177" xfId="24" applyNumberFormat="1" applyFont="1" applyFill="1" applyBorder="1" applyAlignment="1" applyProtection="1">
      <alignment vertical="center"/>
      <protection hidden="1"/>
    </xf>
    <xf numFmtId="1" fontId="234" fillId="40" borderId="25" xfId="24" applyNumberFormat="1" applyFont="1" applyFill="1" applyBorder="1" applyAlignment="1" applyProtection="1">
      <alignment horizontal="right" vertical="center" indent="1"/>
      <protection hidden="1"/>
    </xf>
    <xf numFmtId="9" fontId="234" fillId="40" borderId="25" xfId="32" applyFont="1" applyFill="1" applyBorder="1" applyAlignment="1">
      <alignment horizontal="right" vertical="center" wrapText="1" indent="1"/>
    </xf>
    <xf numFmtId="1" fontId="234" fillId="40" borderId="147" xfId="24" applyNumberFormat="1" applyFont="1" applyFill="1" applyBorder="1" applyAlignment="1" applyProtection="1">
      <alignment horizontal="right" vertical="center" indent="1"/>
      <protection hidden="1"/>
    </xf>
    <xf numFmtId="171" fontId="2" fillId="43" borderId="0" xfId="24" applyFont="1" applyFill="1" applyAlignment="1">
      <alignment vertical="center" wrapText="1"/>
    </xf>
    <xf numFmtId="171" fontId="226" fillId="40" borderId="122" xfId="24" applyFont="1" applyFill="1" applyBorder="1" applyAlignment="1" applyProtection="1">
      <alignment vertical="center"/>
      <protection hidden="1"/>
    </xf>
    <xf numFmtId="9" fontId="226" fillId="40" borderId="147" xfId="24" applyNumberFormat="1" applyFont="1" applyFill="1" applyBorder="1" applyAlignment="1" applyProtection="1">
      <alignment vertical="center"/>
      <protection hidden="1"/>
    </xf>
    <xf numFmtId="171" fontId="2" fillId="40" borderId="121" xfId="24" applyFont="1" applyFill="1" applyBorder="1" applyAlignment="1">
      <alignment vertical="center"/>
    </xf>
    <xf numFmtId="9" fontId="139" fillId="40" borderId="121" xfId="24" applyNumberFormat="1" applyFont="1" applyFill="1" applyBorder="1" applyAlignment="1" applyProtection="1">
      <alignment horizontal="left" vertical="center"/>
      <protection hidden="1"/>
    </xf>
    <xf numFmtId="171" fontId="139" fillId="40" borderId="121" xfId="24" applyFont="1" applyFill="1" applyBorder="1" applyAlignment="1">
      <alignment vertical="center"/>
    </xf>
    <xf numFmtId="9" fontId="139" fillId="40" borderId="121" xfId="32" applyFont="1" applyFill="1" applyBorder="1" applyAlignment="1">
      <alignment horizontal="right" vertical="center" indent="1"/>
    </xf>
    <xf numFmtId="1" fontId="236" fillId="40" borderId="113" xfId="24" applyNumberFormat="1" applyFont="1" applyFill="1" applyBorder="1" applyAlignment="1" applyProtection="1">
      <alignment horizontal="right" vertical="center" indent="1"/>
      <protection hidden="1"/>
    </xf>
    <xf numFmtId="171" fontId="2" fillId="40" borderId="0" xfId="24" applyFont="1" applyFill="1" applyAlignment="1">
      <alignment vertical="center"/>
    </xf>
    <xf numFmtId="9" fontId="139" fillId="40" borderId="0" xfId="24" applyNumberFormat="1" applyFont="1" applyFill="1" applyAlignment="1" applyProtection="1">
      <alignment horizontal="left" vertical="center"/>
      <protection hidden="1"/>
    </xf>
    <xf numFmtId="171" fontId="139" fillId="40" borderId="0" xfId="24" applyFont="1" applyFill="1" applyAlignment="1">
      <alignment vertical="center"/>
    </xf>
    <xf numFmtId="9" fontId="139" fillId="40" borderId="0" xfId="32" applyFont="1" applyFill="1" applyBorder="1" applyAlignment="1">
      <alignment horizontal="right" vertical="center" indent="1"/>
    </xf>
    <xf numFmtId="1" fontId="236" fillId="40" borderId="177" xfId="24" applyNumberFormat="1" applyFont="1" applyFill="1" applyBorder="1" applyAlignment="1" applyProtection="1">
      <alignment horizontal="right" vertical="center" indent="1"/>
      <protection hidden="1"/>
    </xf>
    <xf numFmtId="171" fontId="225" fillId="37" borderId="112" xfId="24" applyFont="1" applyFill="1" applyBorder="1" applyAlignment="1" applyProtection="1">
      <alignment vertical="center"/>
      <protection hidden="1"/>
    </xf>
    <xf numFmtId="171" fontId="225" fillId="37" borderId="121" xfId="24" applyFont="1" applyFill="1" applyBorder="1" applyAlignment="1" applyProtection="1">
      <alignment horizontal="center" vertical="center"/>
      <protection hidden="1"/>
    </xf>
    <xf numFmtId="171" fontId="225" fillId="37" borderId="113" xfId="24" applyFont="1" applyFill="1" applyBorder="1" applyAlignment="1" applyProtection="1">
      <alignment horizontal="center" vertical="center"/>
      <protection hidden="1"/>
    </xf>
    <xf numFmtId="171" fontId="225" fillId="37" borderId="88" xfId="24" applyFont="1" applyFill="1" applyBorder="1" applyAlignment="1" applyProtection="1">
      <alignment vertical="center"/>
      <protection hidden="1"/>
    </xf>
    <xf numFmtId="171" fontId="225" fillId="37" borderId="0" xfId="24" applyFont="1" applyFill="1" applyAlignment="1" applyProtection="1">
      <alignment vertical="center"/>
      <protection hidden="1"/>
    </xf>
    <xf numFmtId="171" fontId="225" fillId="37" borderId="177" xfId="24" applyFont="1" applyFill="1" applyBorder="1" applyAlignment="1" applyProtection="1">
      <alignment vertical="center"/>
      <protection hidden="1"/>
    </xf>
    <xf numFmtId="171" fontId="134" fillId="37" borderId="0" xfId="24" applyFont="1" applyFill="1" applyAlignment="1">
      <alignment vertical="center"/>
    </xf>
    <xf numFmtId="3" fontId="225" fillId="37" borderId="177" xfId="24" applyNumberFormat="1" applyFont="1" applyFill="1" applyBorder="1" applyAlignment="1" applyProtection="1">
      <alignment horizontal="center" vertical="center"/>
      <protection hidden="1"/>
    </xf>
    <xf numFmtId="1" fontId="236" fillId="40" borderId="0" xfId="24" applyNumberFormat="1" applyFont="1" applyFill="1" applyAlignment="1">
      <alignment horizontal="right" vertical="center" indent="1"/>
    </xf>
    <xf numFmtId="171" fontId="234" fillId="40" borderId="0" xfId="24" applyFont="1" applyFill="1" applyAlignment="1">
      <alignment vertical="center"/>
    </xf>
    <xf numFmtId="9" fontId="234" fillId="40" borderId="0" xfId="32" applyFont="1" applyFill="1" applyBorder="1" applyAlignment="1">
      <alignment horizontal="right" vertical="center" indent="1"/>
    </xf>
    <xf numFmtId="171" fontId="225" fillId="37" borderId="0" xfId="24" applyFont="1" applyFill="1" applyAlignment="1">
      <alignment vertical="center"/>
    </xf>
    <xf numFmtId="171" fontId="236" fillId="40" borderId="0" xfId="24" applyFont="1" applyFill="1" applyAlignment="1">
      <alignment vertical="center"/>
    </xf>
    <xf numFmtId="9" fontId="236" fillId="40" borderId="0" xfId="32" applyFont="1" applyFill="1" applyBorder="1" applyAlignment="1">
      <alignment horizontal="right" vertical="center" indent="1"/>
    </xf>
    <xf numFmtId="9" fontId="225" fillId="37" borderId="0" xfId="24" applyNumberFormat="1" applyFont="1" applyFill="1" applyAlignment="1">
      <alignment vertical="center"/>
    </xf>
    <xf numFmtId="9" fontId="225" fillId="37" borderId="177" xfId="24" applyNumberFormat="1" applyFont="1" applyFill="1" applyBorder="1" applyAlignment="1">
      <alignment vertical="center"/>
    </xf>
    <xf numFmtId="171" fontId="226" fillId="0" borderId="0" xfId="24" applyFont="1" applyAlignment="1">
      <alignment vertical="center" wrapText="1"/>
    </xf>
    <xf numFmtId="0" fontId="16" fillId="0" borderId="0" xfId="36" applyFont="1"/>
    <xf numFmtId="0" fontId="2" fillId="0" borderId="0" xfId="36"/>
    <xf numFmtId="171" fontId="225" fillId="37" borderId="122" xfId="24" applyFont="1" applyFill="1" applyBorder="1" applyAlignment="1">
      <alignment vertical="center"/>
    </xf>
    <xf numFmtId="10" fontId="225" fillId="37" borderId="147" xfId="24" applyNumberFormat="1" applyFont="1" applyFill="1" applyBorder="1" applyAlignment="1">
      <alignment vertical="center"/>
    </xf>
    <xf numFmtId="3" fontId="225" fillId="37" borderId="147" xfId="24" applyNumberFormat="1" applyFont="1" applyFill="1" applyBorder="1" applyAlignment="1" applyProtection="1">
      <alignment horizontal="center" vertical="center"/>
      <protection hidden="1"/>
    </xf>
    <xf numFmtId="0" fontId="19" fillId="0" borderId="0" xfId="36" applyFont="1" applyAlignment="1">
      <alignment horizontal="center"/>
    </xf>
    <xf numFmtId="0" fontId="16" fillId="0" borderId="10" xfId="36" applyFont="1" applyBorder="1" applyAlignment="1">
      <alignment horizontal="center" vertical="center"/>
    </xf>
    <xf numFmtId="0" fontId="16" fillId="0" borderId="10" xfId="36" applyFont="1" applyBorder="1" applyAlignment="1">
      <alignment horizontal="center"/>
    </xf>
    <xf numFmtId="0" fontId="6" fillId="0" borderId="0" xfId="1" applyAlignment="1">
      <alignment horizontal="right"/>
    </xf>
    <xf numFmtId="171" fontId="2" fillId="40" borderId="25" xfId="24" applyFont="1" applyFill="1" applyBorder="1" applyAlignment="1">
      <alignment vertical="center"/>
    </xf>
    <xf numFmtId="1" fontId="139" fillId="40" borderId="25" xfId="24" applyNumberFormat="1" applyFont="1" applyFill="1" applyBorder="1" applyAlignment="1" applyProtection="1">
      <alignment horizontal="right" vertical="center" indent="1"/>
      <protection hidden="1"/>
    </xf>
    <xf numFmtId="171" fontId="139" fillId="40" borderId="25" xfId="24" applyFont="1" applyFill="1" applyBorder="1" applyAlignment="1">
      <alignment vertical="center"/>
    </xf>
    <xf numFmtId="9" fontId="139" fillId="40" borderId="25" xfId="32" applyFont="1" applyFill="1" applyBorder="1" applyAlignment="1">
      <alignment horizontal="right" vertical="center" indent="1"/>
    </xf>
    <xf numFmtId="171" fontId="0" fillId="43" borderId="0" xfId="24" applyFont="1" applyFill="1" applyAlignment="1">
      <alignment vertical="center" wrapText="1"/>
    </xf>
    <xf numFmtId="0" fontId="30" fillId="30" borderId="10" xfId="36" applyFont="1" applyFill="1" applyBorder="1" applyAlignment="1">
      <alignment vertical="center"/>
    </xf>
    <xf numFmtId="3" fontId="19" fillId="0" borderId="10" xfId="36" applyNumberFormat="1" applyFont="1" applyBorder="1" applyAlignment="1" applyProtection="1">
      <alignment vertical="center"/>
      <protection locked="0"/>
    </xf>
    <xf numFmtId="3" fontId="19" fillId="17" borderId="10" xfId="36" applyNumberFormat="1" applyFont="1" applyFill="1" applyBorder="1" applyAlignment="1">
      <alignment vertical="center"/>
    </xf>
    <xf numFmtId="171" fontId="225" fillId="44" borderId="245" xfId="24" applyFont="1" applyFill="1" applyBorder="1" applyAlignment="1">
      <alignment vertical="center"/>
    </xf>
    <xf numFmtId="171" fontId="225" fillId="44" borderId="246" xfId="24" applyFont="1" applyFill="1" applyBorder="1" applyAlignment="1">
      <alignment vertical="center"/>
    </xf>
    <xf numFmtId="171" fontId="225" fillId="44" borderId="246" xfId="24" applyFont="1" applyFill="1" applyBorder="1" applyAlignment="1" applyProtection="1">
      <alignment vertical="center"/>
      <protection hidden="1"/>
    </xf>
    <xf numFmtId="9" fontId="225" fillId="44" borderId="246" xfId="24" applyNumberFormat="1" applyFont="1" applyFill="1" applyBorder="1" applyAlignment="1">
      <alignment horizontal="right" vertical="center" indent="1"/>
    </xf>
    <xf numFmtId="1" fontId="225" fillId="44" borderId="246" xfId="24" applyNumberFormat="1" applyFont="1" applyFill="1" applyBorder="1" applyAlignment="1" applyProtection="1">
      <alignment horizontal="right" vertical="center" indent="1"/>
      <protection hidden="1"/>
    </xf>
    <xf numFmtId="1" fontId="225" fillId="44" borderId="247" xfId="24" applyNumberFormat="1" applyFont="1" applyFill="1" applyBorder="1" applyAlignment="1" applyProtection="1">
      <alignment horizontal="right" vertical="center" indent="1"/>
      <protection hidden="1"/>
    </xf>
    <xf numFmtId="0" fontId="19" fillId="43" borderId="18" xfId="36" applyFont="1" applyFill="1" applyBorder="1" applyAlignment="1">
      <alignment vertical="center"/>
    </xf>
    <xf numFmtId="0" fontId="30" fillId="0" borderId="18" xfId="36" applyFont="1" applyBorder="1" applyAlignment="1">
      <alignment horizontal="left" vertical="center"/>
    </xf>
    <xf numFmtId="3" fontId="30" fillId="0" borderId="10" xfId="36" applyNumberFormat="1" applyFont="1" applyBorder="1" applyAlignment="1" applyProtection="1">
      <alignment vertical="center"/>
      <protection locked="0"/>
    </xf>
    <xf numFmtId="3" fontId="30" fillId="17" borderId="10" xfId="36" applyNumberFormat="1" applyFont="1" applyFill="1" applyBorder="1" applyAlignment="1">
      <alignment vertical="center"/>
    </xf>
    <xf numFmtId="171" fontId="237" fillId="0" borderId="0" xfId="24" applyFont="1" applyAlignment="1">
      <alignment vertical="center"/>
    </xf>
    <xf numFmtId="175" fontId="237" fillId="0" borderId="0" xfId="30" applyNumberFormat="1" applyFont="1" applyAlignment="1">
      <alignment vertical="center"/>
    </xf>
    <xf numFmtId="171" fontId="134" fillId="37" borderId="112" xfId="24" applyFont="1" applyFill="1" applyBorder="1" applyAlignment="1">
      <alignment vertical="center"/>
    </xf>
    <xf numFmtId="171" fontId="225" fillId="37" borderId="121" xfId="24" applyFont="1" applyFill="1" applyBorder="1" applyAlignment="1" applyProtection="1">
      <alignment vertical="center"/>
      <protection hidden="1"/>
    </xf>
    <xf numFmtId="171" fontId="225" fillId="37" borderId="113" xfId="24" applyFont="1" applyFill="1" applyBorder="1" applyAlignment="1" applyProtection="1">
      <alignment vertical="center"/>
      <protection hidden="1"/>
    </xf>
    <xf numFmtId="9" fontId="225" fillId="37" borderId="0" xfId="24" applyNumberFormat="1" applyFont="1" applyFill="1" applyAlignment="1">
      <alignment horizontal="center" vertical="center"/>
    </xf>
    <xf numFmtId="9" fontId="225" fillId="37" borderId="177" xfId="24" applyNumberFormat="1" applyFont="1" applyFill="1" applyBorder="1" applyAlignment="1">
      <alignment horizontal="center" vertical="center"/>
    </xf>
    <xf numFmtId="0" fontId="19" fillId="45" borderId="18" xfId="36" applyFont="1" applyFill="1" applyBorder="1" applyAlignment="1">
      <alignment vertical="center"/>
    </xf>
    <xf numFmtId="171" fontId="238" fillId="0" borderId="0" xfId="24" applyFont="1" applyAlignment="1">
      <alignment vertical="center"/>
    </xf>
    <xf numFmtId="1" fontId="238" fillId="0" borderId="0" xfId="24" applyNumberFormat="1" applyFont="1" applyAlignment="1">
      <alignment horizontal="center" vertical="center"/>
    </xf>
    <xf numFmtId="3" fontId="134" fillId="0" borderId="0" xfId="24" quotePrefix="1" applyNumberFormat="1" applyFont="1" applyAlignment="1">
      <alignment vertical="center"/>
    </xf>
    <xf numFmtId="171" fontId="225" fillId="37" borderId="88" xfId="24" applyFont="1" applyFill="1" applyBorder="1" applyAlignment="1">
      <alignment vertical="center" wrapText="1"/>
    </xf>
    <xf numFmtId="189" fontId="225" fillId="37" borderId="177" xfId="24" applyNumberFormat="1" applyFont="1" applyFill="1" applyBorder="1" applyAlignment="1">
      <alignment vertical="center"/>
    </xf>
    <xf numFmtId="171" fontId="225" fillId="37" borderId="25" xfId="24" applyFont="1" applyFill="1" applyBorder="1" applyAlignment="1">
      <alignment vertical="center"/>
    </xf>
    <xf numFmtId="0" fontId="16" fillId="45" borderId="10" xfId="36" applyFont="1" applyFill="1" applyBorder="1" applyAlignment="1">
      <alignment vertical="center"/>
    </xf>
    <xf numFmtId="1" fontId="2" fillId="40" borderId="24" xfId="24" applyNumberFormat="1" applyFont="1" applyFill="1" applyBorder="1" applyAlignment="1" applyProtection="1">
      <alignment horizontal="center" vertical="center"/>
      <protection hidden="1"/>
    </xf>
    <xf numFmtId="1" fontId="2" fillId="40" borderId="38" xfId="24" applyNumberFormat="1" applyFont="1" applyFill="1" applyBorder="1" applyAlignment="1" applyProtection="1">
      <alignment horizontal="center" vertical="center"/>
      <protection hidden="1"/>
    </xf>
    <xf numFmtId="189" fontId="225" fillId="37" borderId="147" xfId="24" applyNumberFormat="1" applyFont="1" applyFill="1" applyBorder="1" applyAlignment="1">
      <alignment vertical="center"/>
    </xf>
    <xf numFmtId="0" fontId="16" fillId="46" borderId="21" xfId="36" applyFont="1" applyFill="1" applyBorder="1" applyAlignment="1">
      <alignment vertical="center"/>
    </xf>
    <xf numFmtId="0" fontId="16" fillId="46" borderId="10" xfId="36" applyFont="1" applyFill="1" applyBorder="1" applyAlignment="1">
      <alignment horizontal="center" vertical="center"/>
    </xf>
    <xf numFmtId="0" fontId="19" fillId="46" borderId="10" xfId="36" applyFont="1" applyFill="1" applyBorder="1" applyAlignment="1">
      <alignment horizontal="left" vertical="center"/>
    </xf>
    <xf numFmtId="3" fontId="19" fillId="46" borderId="56" xfId="36" applyNumberFormat="1" applyFont="1" applyFill="1" applyBorder="1" applyAlignment="1" applyProtection="1">
      <alignment vertical="center"/>
      <protection locked="0"/>
    </xf>
    <xf numFmtId="171" fontId="235" fillId="0" borderId="0" xfId="24" applyFont="1" applyAlignment="1">
      <alignment vertical="center"/>
    </xf>
    <xf numFmtId="171" fontId="240" fillId="40" borderId="121" xfId="24" applyFont="1" applyFill="1" applyBorder="1" applyAlignment="1">
      <alignment vertical="center"/>
    </xf>
    <xf numFmtId="9" fontId="241" fillId="40" borderId="121" xfId="32" applyFont="1" applyFill="1" applyBorder="1" applyAlignment="1" applyProtection="1">
      <alignment horizontal="right" vertical="center" indent="1"/>
      <protection hidden="1"/>
    </xf>
    <xf numFmtId="1" fontId="241" fillId="40" borderId="121" xfId="24" applyNumberFormat="1" applyFont="1" applyFill="1" applyBorder="1" applyAlignment="1" applyProtection="1">
      <alignment horizontal="right" vertical="center" indent="1"/>
      <protection hidden="1"/>
    </xf>
    <xf numFmtId="1" fontId="242" fillId="40" borderId="113" xfId="24" applyNumberFormat="1" applyFont="1" applyFill="1" applyBorder="1" applyAlignment="1" applyProtection="1">
      <alignment horizontal="right" vertical="center" indent="1"/>
      <protection hidden="1"/>
    </xf>
    <xf numFmtId="1" fontId="134" fillId="0" borderId="0" xfId="24" applyNumberFormat="1" applyFont="1" applyAlignment="1">
      <alignment vertical="center"/>
    </xf>
    <xf numFmtId="9" fontId="134" fillId="0" borderId="0" xfId="24" applyNumberFormat="1" applyFont="1" applyAlignment="1">
      <alignment vertical="center"/>
    </xf>
    <xf numFmtId="171" fontId="240" fillId="40" borderId="0" xfId="24" applyFont="1" applyFill="1" applyAlignment="1">
      <alignment vertical="center"/>
    </xf>
    <xf numFmtId="9" fontId="241" fillId="40" borderId="0" xfId="32" applyFont="1" applyFill="1" applyAlignment="1" applyProtection="1">
      <alignment horizontal="right" vertical="center" indent="1"/>
      <protection hidden="1"/>
    </xf>
    <xf numFmtId="1" fontId="241" fillId="40" borderId="0" xfId="24" applyNumberFormat="1" applyFont="1" applyFill="1" applyAlignment="1" applyProtection="1">
      <alignment horizontal="right" vertical="center" indent="1"/>
      <protection hidden="1"/>
    </xf>
    <xf numFmtId="1" fontId="242" fillId="40" borderId="177" xfId="24" applyNumberFormat="1" applyFont="1" applyFill="1" applyBorder="1" applyAlignment="1" applyProtection="1">
      <alignment horizontal="right" vertical="center" indent="1"/>
      <protection hidden="1"/>
    </xf>
    <xf numFmtId="0" fontId="30" fillId="0" borderId="0" xfId="36" applyFont="1" applyAlignment="1">
      <alignment horizontal="left" vertical="top"/>
    </xf>
    <xf numFmtId="0" fontId="27" fillId="0" borderId="0" xfId="1" applyFont="1" applyAlignment="1"/>
    <xf numFmtId="0" fontId="16" fillId="47" borderId="0" xfId="36" applyFont="1" applyFill="1" applyAlignment="1">
      <alignment vertical="center"/>
    </xf>
    <xf numFmtId="0" fontId="16" fillId="47" borderId="10" xfId="36" applyFont="1" applyFill="1" applyBorder="1" applyAlignment="1">
      <alignment horizontal="center" vertical="center"/>
    </xf>
    <xf numFmtId="0" fontId="19" fillId="47" borderId="10" xfId="36" applyFont="1" applyFill="1" applyBorder="1" applyAlignment="1">
      <alignment horizontal="left" vertical="center"/>
    </xf>
    <xf numFmtId="3" fontId="19" fillId="47" borderId="10" xfId="36" applyNumberFormat="1" applyFont="1" applyFill="1" applyBorder="1" applyAlignment="1" applyProtection="1">
      <alignment vertical="center"/>
      <protection locked="0"/>
    </xf>
    <xf numFmtId="0" fontId="19" fillId="47" borderId="18" xfId="36" applyFont="1" applyFill="1" applyBorder="1" applyAlignment="1">
      <alignment horizontal="left" vertical="center"/>
    </xf>
    <xf numFmtId="1" fontId="243" fillId="40" borderId="177" xfId="24" applyNumberFormat="1" applyFont="1" applyFill="1" applyBorder="1" applyAlignment="1" applyProtection="1">
      <alignment horizontal="right" vertical="center" indent="1"/>
      <protection hidden="1"/>
    </xf>
    <xf numFmtId="171" fontId="243" fillId="40" borderId="0" xfId="24" applyFont="1" applyFill="1" applyAlignment="1">
      <alignment vertical="center"/>
    </xf>
    <xf numFmtId="9" fontId="243" fillId="40" borderId="0" xfId="32" applyFont="1" applyFill="1" applyAlignment="1" applyProtection="1">
      <alignment horizontal="right" vertical="center" indent="1"/>
      <protection hidden="1"/>
    </xf>
    <xf numFmtId="1" fontId="242" fillId="40" borderId="0" xfId="24" applyNumberFormat="1" applyFont="1" applyFill="1" applyAlignment="1" applyProtection="1">
      <alignment horizontal="right" vertical="center" indent="1"/>
      <protection hidden="1"/>
    </xf>
    <xf numFmtId="0" fontId="16" fillId="48" borderId="21" xfId="36" applyFont="1" applyFill="1" applyBorder="1" applyAlignment="1">
      <alignment vertical="center"/>
    </xf>
    <xf numFmtId="0" fontId="16" fillId="48" borderId="10" xfId="36" applyFont="1" applyFill="1" applyBorder="1" applyAlignment="1">
      <alignment horizontal="center" vertical="center"/>
    </xf>
    <xf numFmtId="9" fontId="134" fillId="40" borderId="25" xfId="24" applyNumberFormat="1" applyFont="1" applyFill="1" applyBorder="1" applyAlignment="1" applyProtection="1">
      <alignment vertical="center"/>
      <protection hidden="1"/>
    </xf>
    <xf numFmtId="9" fontId="225" fillId="40" borderId="25" xfId="24" applyNumberFormat="1" applyFont="1" applyFill="1" applyBorder="1" applyAlignment="1" applyProtection="1">
      <alignment vertical="center"/>
      <protection hidden="1"/>
    </xf>
    <xf numFmtId="9" fontId="225" fillId="40" borderId="0" xfId="32" applyFont="1" applyFill="1" applyAlignment="1" applyProtection="1">
      <alignment horizontal="right" vertical="center" indent="1"/>
      <protection hidden="1"/>
    </xf>
    <xf numFmtId="1" fontId="225" fillId="40" borderId="0" xfId="24" applyNumberFormat="1" applyFont="1" applyFill="1" applyAlignment="1" applyProtection="1">
      <alignment horizontal="right" vertical="center" indent="1"/>
      <protection hidden="1"/>
    </xf>
    <xf numFmtId="1" fontId="226" fillId="40" borderId="177" xfId="24" applyNumberFormat="1" applyFont="1" applyFill="1" applyBorder="1" applyAlignment="1" applyProtection="1">
      <alignment horizontal="right" vertical="center" indent="1"/>
      <protection hidden="1"/>
    </xf>
    <xf numFmtId="0" fontId="19" fillId="48" borderId="10" xfId="36" applyFont="1" applyFill="1" applyBorder="1"/>
    <xf numFmtId="3" fontId="19" fillId="48" borderId="10" xfId="36" applyNumberFormat="1" applyFont="1" applyFill="1" applyBorder="1" applyAlignment="1" applyProtection="1">
      <alignment vertical="center"/>
      <protection locked="0"/>
    </xf>
    <xf numFmtId="171" fontId="134" fillId="40" borderId="245" xfId="24" applyFont="1" applyFill="1" applyBorder="1" applyAlignment="1">
      <alignment vertical="center"/>
    </xf>
    <xf numFmtId="171" fontId="134" fillId="40" borderId="246" xfId="24" applyFont="1" applyFill="1" applyBorder="1" applyAlignment="1">
      <alignment vertical="center"/>
    </xf>
    <xf numFmtId="171" fontId="225" fillId="40" borderId="246" xfId="24" applyFont="1" applyFill="1" applyBorder="1" applyAlignment="1">
      <alignment vertical="center"/>
    </xf>
    <xf numFmtId="171" fontId="225" fillId="40" borderId="246" xfId="24" applyFont="1" applyFill="1" applyBorder="1" applyAlignment="1" applyProtection="1">
      <alignment vertical="center"/>
      <protection hidden="1"/>
    </xf>
    <xf numFmtId="9" fontId="225" fillId="40" borderId="246" xfId="24" applyNumberFormat="1" applyFont="1" applyFill="1" applyBorder="1" applyAlignment="1">
      <alignment horizontal="right" vertical="center" indent="1"/>
    </xf>
    <xf numFmtId="1" fontId="225" fillId="40" borderId="246" xfId="24" applyNumberFormat="1" applyFont="1" applyFill="1" applyBorder="1" applyAlignment="1" applyProtection="1">
      <alignment horizontal="right" vertical="center" indent="1"/>
      <protection hidden="1"/>
    </xf>
    <xf numFmtId="1" fontId="225" fillId="40" borderId="247" xfId="24" applyNumberFormat="1" applyFont="1" applyFill="1" applyBorder="1" applyAlignment="1" applyProtection="1">
      <alignment horizontal="right" vertical="center" indent="1"/>
      <protection hidden="1"/>
    </xf>
    <xf numFmtId="0" fontId="30" fillId="48" borderId="17" xfId="36" applyFont="1" applyFill="1" applyBorder="1" applyAlignment="1">
      <alignment horizontal="left" vertical="center"/>
    </xf>
    <xf numFmtId="3" fontId="30" fillId="48" borderId="18" xfId="36" applyNumberFormat="1" applyFont="1" applyFill="1" applyBorder="1" applyAlignment="1" applyProtection="1">
      <alignment vertical="center"/>
      <protection locked="0"/>
    </xf>
    <xf numFmtId="171" fontId="239" fillId="40" borderId="121" xfId="24" applyFont="1" applyFill="1" applyBorder="1" applyAlignment="1">
      <alignment vertical="center"/>
    </xf>
    <xf numFmtId="171" fontId="236" fillId="40" borderId="121" xfId="24" applyFont="1" applyFill="1" applyBorder="1" applyAlignment="1">
      <alignment vertical="center"/>
    </xf>
    <xf numFmtId="10" fontId="236" fillId="40" borderId="121" xfId="24" applyNumberFormat="1" applyFont="1" applyFill="1" applyBorder="1" applyAlignment="1">
      <alignment vertical="center"/>
    </xf>
    <xf numFmtId="1" fontId="242" fillId="40" borderId="121" xfId="24" applyNumberFormat="1" applyFont="1" applyFill="1" applyBorder="1" applyAlignment="1" applyProtection="1">
      <alignment horizontal="right" vertical="center" indent="1"/>
      <protection hidden="1"/>
    </xf>
    <xf numFmtId="1" fontId="236" fillId="44" borderId="113" xfId="24" applyNumberFormat="1" applyFont="1" applyFill="1" applyBorder="1" applyAlignment="1" applyProtection="1">
      <alignment horizontal="left" vertical="center"/>
      <protection hidden="1"/>
    </xf>
    <xf numFmtId="171" fontId="239" fillId="40" borderId="0" xfId="24" applyFont="1" applyFill="1" applyAlignment="1">
      <alignment vertical="center"/>
    </xf>
    <xf numFmtId="171" fontId="134" fillId="44" borderId="177" xfId="24" applyFont="1" applyFill="1" applyBorder="1" applyAlignment="1">
      <alignment vertical="center"/>
    </xf>
    <xf numFmtId="171" fontId="239" fillId="40" borderId="25" xfId="24" applyFont="1" applyFill="1" applyBorder="1" applyAlignment="1">
      <alignment vertical="center"/>
    </xf>
    <xf numFmtId="171" fontId="134" fillId="40" borderId="25" xfId="24" applyFont="1" applyFill="1" applyBorder="1" applyAlignment="1">
      <alignment vertical="center"/>
    </xf>
    <xf numFmtId="1" fontId="242" fillId="40" borderId="25" xfId="24" applyNumberFormat="1" applyFont="1" applyFill="1" applyBorder="1" applyAlignment="1" applyProtection="1">
      <alignment horizontal="right" vertical="center" indent="1"/>
      <protection hidden="1"/>
    </xf>
    <xf numFmtId="171" fontId="134" fillId="44" borderId="147" xfId="24" applyFont="1" applyFill="1" applyBorder="1" applyAlignment="1">
      <alignment vertical="center"/>
    </xf>
    <xf numFmtId="171" fontId="245" fillId="0" borderId="0" xfId="24" applyFont="1" applyAlignment="1">
      <alignment vertical="center"/>
    </xf>
    <xf numFmtId="175" fontId="245" fillId="0" borderId="0" xfId="30" applyNumberFormat="1" applyFont="1" applyAlignment="1">
      <alignment vertical="center"/>
    </xf>
    <xf numFmtId="171" fontId="243" fillId="0" borderId="0" xfId="24" applyFont="1" applyAlignment="1">
      <alignment vertical="center"/>
    </xf>
    <xf numFmtId="1" fontId="243" fillId="0" borderId="0" xfId="24" applyNumberFormat="1" applyFont="1" applyAlignment="1">
      <alignment horizontal="center" vertical="center"/>
    </xf>
    <xf numFmtId="171" fontId="246" fillId="0" borderId="0" xfId="24" applyFont="1" applyAlignment="1">
      <alignment vertical="center"/>
    </xf>
    <xf numFmtId="0" fontId="19" fillId="49" borderId="12" xfId="36" applyFont="1" applyFill="1" applyBorder="1" applyAlignment="1">
      <alignment horizontal="left" vertical="center"/>
    </xf>
    <xf numFmtId="0" fontId="6" fillId="49" borderId="0" xfId="1" applyFill="1" applyAlignment="1">
      <alignment vertical="center"/>
    </xf>
    <xf numFmtId="0" fontId="19" fillId="49" borderId="10" xfId="36" applyFont="1" applyFill="1" applyBorder="1" applyAlignment="1">
      <alignment horizontal="left" vertical="center"/>
    </xf>
    <xf numFmtId="3" fontId="19" fillId="49" borderId="56" xfId="36" applyNumberFormat="1" applyFont="1" applyFill="1" applyBorder="1" applyAlignment="1" applyProtection="1">
      <alignment vertical="center"/>
      <protection locked="0"/>
    </xf>
    <xf numFmtId="3" fontId="19" fillId="49" borderId="10" xfId="36" applyNumberFormat="1" applyFont="1" applyFill="1" applyBorder="1" applyAlignment="1" applyProtection="1">
      <alignment vertical="center"/>
      <protection locked="0"/>
    </xf>
    <xf numFmtId="0" fontId="19" fillId="49" borderId="17" xfId="36" applyFont="1" applyFill="1" applyBorder="1" applyAlignment="1">
      <alignment horizontal="left" vertical="center"/>
    </xf>
    <xf numFmtId="0" fontId="19" fillId="0" borderId="0" xfId="36" applyFont="1" applyAlignment="1">
      <alignment vertical="center"/>
    </xf>
    <xf numFmtId="0" fontId="6" fillId="0" borderId="0" xfId="1" applyAlignment="1">
      <alignment vertical="center"/>
    </xf>
    <xf numFmtId="0" fontId="30" fillId="0" borderId="0" xfId="36" applyFont="1" applyAlignment="1">
      <alignment vertical="center"/>
    </xf>
    <xf numFmtId="0" fontId="30" fillId="0" borderId="0" xfId="36" applyFont="1"/>
    <xf numFmtId="0" fontId="16" fillId="0" borderId="0" xfId="36" applyFont="1" applyAlignment="1">
      <alignment horizontal="center"/>
    </xf>
    <xf numFmtId="0" fontId="16" fillId="0" borderId="0" xfId="1" applyFont="1" applyAlignment="1">
      <alignment vertical="center"/>
    </xf>
    <xf numFmtId="0" fontId="19" fillId="0" borderId="0" xfId="36" applyFont="1"/>
    <xf numFmtId="0" fontId="16" fillId="53" borderId="56" xfId="36" applyFont="1" applyFill="1" applyBorder="1" applyAlignment="1">
      <alignment horizontal="center" vertical="center"/>
    </xf>
    <xf numFmtId="0" fontId="16" fillId="53" borderId="10" xfId="36" applyFont="1" applyFill="1" applyBorder="1" applyAlignment="1">
      <alignment horizontal="center" vertical="center"/>
    </xf>
    <xf numFmtId="0" fontId="16" fillId="53" borderId="17" xfId="36" applyFont="1" applyFill="1" applyBorder="1" applyAlignment="1">
      <alignment horizontal="left" vertical="center"/>
    </xf>
    <xf numFmtId="3" fontId="19" fillId="53" borderId="10" xfId="36" applyNumberFormat="1" applyFont="1" applyFill="1" applyBorder="1" applyAlignment="1" applyProtection="1">
      <alignment vertical="center"/>
      <protection locked="0"/>
    </xf>
    <xf numFmtId="171" fontId="208" fillId="0" borderId="223" xfId="24" applyFont="1" applyBorder="1" applyAlignment="1">
      <alignment horizontal="center" vertical="center"/>
    </xf>
    <xf numFmtId="171" fontId="208" fillId="0" borderId="225" xfId="24" applyFont="1" applyBorder="1" applyAlignment="1">
      <alignment vertical="center"/>
    </xf>
    <xf numFmtId="0" fontId="30" fillId="53" borderId="12" xfId="36" applyFont="1" applyFill="1" applyBorder="1" applyAlignment="1">
      <alignment horizontal="left" vertical="center"/>
    </xf>
    <xf numFmtId="3" fontId="19" fillId="0" borderId="0" xfId="36" applyNumberFormat="1" applyFont="1" applyAlignment="1">
      <alignment vertical="center"/>
    </xf>
    <xf numFmtId="1" fontId="168" fillId="0" borderId="0" xfId="24" applyNumberFormat="1" applyFont="1" applyAlignment="1">
      <alignment horizontal="center" vertical="center"/>
    </xf>
    <xf numFmtId="0" fontId="6" fillId="0" borderId="0" xfId="1" applyAlignment="1">
      <alignment horizontal="right" vertical="center"/>
    </xf>
    <xf numFmtId="1" fontId="168" fillId="37" borderId="0" xfId="24" applyNumberFormat="1" applyFont="1" applyFill="1" applyAlignment="1">
      <alignment horizontal="center" vertical="center"/>
    </xf>
    <xf numFmtId="49" fontId="16" fillId="0" borderId="0" xfId="36" applyNumberFormat="1" applyFont="1" applyAlignment="1">
      <alignment horizontal="center" vertical="center"/>
    </xf>
    <xf numFmtId="1" fontId="168" fillId="54" borderId="0" xfId="24" applyNumberFormat="1" applyFont="1" applyFill="1" applyAlignment="1">
      <alignment horizontal="center" vertical="center"/>
    </xf>
    <xf numFmtId="0" fontId="19" fillId="0" borderId="11" xfId="36" applyFont="1" applyBorder="1" applyAlignment="1">
      <alignment horizontal="center" vertical="center"/>
    </xf>
    <xf numFmtId="0" fontId="16" fillId="0" borderId="56" xfId="36" applyFont="1" applyBorder="1" applyAlignment="1">
      <alignment horizontal="center" vertical="center"/>
    </xf>
    <xf numFmtId="0" fontId="16" fillId="0" borderId="10" xfId="36" applyFont="1" applyBorder="1" applyAlignment="1">
      <alignment horizontal="left" vertical="center"/>
    </xf>
    <xf numFmtId="3" fontId="19" fillId="0" borderId="18" xfId="36" applyNumberFormat="1" applyFont="1" applyBorder="1" applyAlignment="1" applyProtection="1">
      <alignment vertical="center"/>
      <protection locked="0"/>
    </xf>
    <xf numFmtId="171" fontId="144" fillId="0" borderId="0" xfId="24" applyFont="1" applyAlignment="1">
      <alignment vertical="top"/>
    </xf>
    <xf numFmtId="171" fontId="134" fillId="55" borderId="0" xfId="24" applyFont="1" applyFill="1" applyAlignment="1">
      <alignment vertical="center"/>
    </xf>
    <xf numFmtId="171" fontId="180" fillId="55" borderId="0" xfId="24" applyFont="1" applyFill="1" applyAlignment="1">
      <alignment vertical="center" wrapText="1" readingOrder="1"/>
    </xf>
    <xf numFmtId="171" fontId="134" fillId="55" borderId="0" xfId="24" applyFont="1" applyFill="1" applyAlignment="1">
      <alignment horizontal="left" vertical="center"/>
    </xf>
    <xf numFmtId="171" fontId="139" fillId="55" borderId="0" xfId="24" applyFont="1" applyFill="1" applyAlignment="1">
      <alignment horizontal="right" vertical="center"/>
    </xf>
    <xf numFmtId="171" fontId="134" fillId="55" borderId="0" xfId="24" applyFont="1" applyFill="1" applyAlignment="1">
      <alignment horizontal="right" vertical="center"/>
    </xf>
    <xf numFmtId="9" fontId="134" fillId="30" borderId="24" xfId="32" applyFont="1" applyFill="1" applyBorder="1" applyAlignment="1">
      <alignment horizontal="center" vertical="center"/>
    </xf>
    <xf numFmtId="9" fontId="134" fillId="0" borderId="24" xfId="32" applyFont="1" applyBorder="1" applyAlignment="1">
      <alignment horizontal="center" vertical="center"/>
    </xf>
    <xf numFmtId="171" fontId="134" fillId="0" borderId="0" xfId="24" applyFont="1" applyFill="1" applyAlignment="1">
      <alignment vertical="center"/>
    </xf>
    <xf numFmtId="171" fontId="144" fillId="0" borderId="0" xfId="24" applyFont="1" applyFill="1" applyAlignment="1">
      <alignment vertical="top"/>
    </xf>
    <xf numFmtId="171" fontId="134" fillId="0" borderId="0" xfId="24" applyFont="1" applyAlignment="1">
      <alignment vertical="center" shrinkToFit="1"/>
    </xf>
    <xf numFmtId="0" fontId="0" fillId="0" borderId="0" xfId="0"/>
    <xf numFmtId="0" fontId="137" fillId="0" borderId="0" xfId="0" applyFont="1" applyProtection="1">
      <protection locked="0"/>
    </xf>
    <xf numFmtId="0" fontId="0" fillId="0" borderId="0" xfId="0" applyProtection="1">
      <protection locked="0"/>
    </xf>
    <xf numFmtId="3" fontId="254" fillId="0" borderId="24" xfId="6" applyNumberFormat="1" applyFont="1" applyBorder="1" applyAlignment="1" applyProtection="1">
      <alignment vertical="center"/>
      <protection locked="0"/>
    </xf>
    <xf numFmtId="3" fontId="254" fillId="0" borderId="124" xfId="6" applyNumberFormat="1" applyFont="1" applyBorder="1" applyAlignment="1" applyProtection="1">
      <alignment vertical="center"/>
      <protection locked="0"/>
    </xf>
    <xf numFmtId="3" fontId="254" fillId="0" borderId="24" xfId="6" applyNumberFormat="1" applyFont="1" applyBorder="1" applyAlignment="1" applyProtection="1">
      <alignment vertical="center"/>
      <protection locked="0"/>
    </xf>
    <xf numFmtId="3" fontId="254" fillId="0" borderId="114" xfId="6" applyNumberFormat="1" applyFont="1" applyBorder="1" applyAlignment="1" applyProtection="1">
      <alignment vertical="center"/>
      <protection locked="0"/>
    </xf>
    <xf numFmtId="3" fontId="254" fillId="0" borderId="125" xfId="6" applyNumberFormat="1" applyFont="1" applyBorder="1" applyAlignment="1" applyProtection="1">
      <alignment vertical="center"/>
      <protection locked="0"/>
    </xf>
    <xf numFmtId="3" fontId="19" fillId="0" borderId="114" xfId="6" applyNumberFormat="1" applyFont="1" applyBorder="1" applyAlignment="1" applyProtection="1">
      <alignment vertical="center"/>
      <protection locked="0"/>
    </xf>
    <xf numFmtId="3" fontId="254" fillId="0" borderId="114" xfId="6" applyNumberFormat="1" applyFont="1" applyBorder="1" applyAlignment="1" applyProtection="1">
      <alignment vertical="center"/>
      <protection locked="0"/>
    </xf>
    <xf numFmtId="3" fontId="19" fillId="0" borderId="65" xfId="6" applyNumberFormat="1" applyFont="1" applyBorder="1" applyAlignment="1" applyProtection="1">
      <alignment vertical="center"/>
      <protection locked="0"/>
    </xf>
    <xf numFmtId="3" fontId="254" fillId="0" borderId="24" xfId="6" applyNumberFormat="1" applyFont="1" applyBorder="1" applyAlignment="1" applyProtection="1">
      <alignment vertical="center"/>
      <protection locked="0"/>
    </xf>
    <xf numFmtId="3" fontId="19" fillId="0" borderId="24" xfId="6" applyNumberFormat="1" applyFont="1" applyBorder="1" applyAlignment="1" applyProtection="1">
      <alignment vertical="center"/>
      <protection locked="0"/>
    </xf>
    <xf numFmtId="3" fontId="254" fillId="0" borderId="24" xfId="6" applyNumberFormat="1" applyFont="1" applyBorder="1" applyAlignment="1" applyProtection="1">
      <alignment vertical="center"/>
      <protection locked="0"/>
    </xf>
    <xf numFmtId="3" fontId="254" fillId="0" borderId="114" xfId="6" applyNumberFormat="1" applyFont="1" applyBorder="1" applyAlignment="1" applyProtection="1">
      <alignment vertical="center"/>
      <protection locked="0"/>
    </xf>
    <xf numFmtId="3" fontId="19" fillId="0" borderId="24" xfId="6" applyNumberFormat="1" applyFont="1" applyBorder="1" applyAlignment="1" applyProtection="1">
      <alignment vertical="center"/>
      <protection locked="0"/>
    </xf>
    <xf numFmtId="3" fontId="254" fillId="0" borderId="24" xfId="6" applyNumberFormat="1" applyFont="1" applyBorder="1" applyAlignment="1" applyProtection="1">
      <alignment vertical="center"/>
      <protection locked="0"/>
    </xf>
    <xf numFmtId="3" fontId="254" fillId="0" borderId="114" xfId="6" applyNumberFormat="1" applyFont="1" applyBorder="1" applyAlignment="1" applyProtection="1">
      <alignment vertical="center"/>
      <protection locked="0"/>
    </xf>
    <xf numFmtId="3" fontId="19" fillId="0" borderId="24" xfId="6" applyNumberFormat="1" applyFont="1" applyBorder="1" applyAlignment="1" applyProtection="1">
      <alignment vertical="center"/>
      <protection locked="0"/>
    </xf>
    <xf numFmtId="3" fontId="254" fillId="0" borderId="24" xfId="6" applyNumberFormat="1" applyFont="1" applyBorder="1" applyAlignment="1" applyProtection="1">
      <alignment vertical="center"/>
      <protection locked="0"/>
    </xf>
    <xf numFmtId="3" fontId="254" fillId="0" borderId="27" xfId="6" applyNumberFormat="1" applyFont="1" applyBorder="1" applyAlignment="1" applyProtection="1">
      <alignment vertical="center"/>
      <protection locked="0"/>
    </xf>
    <xf numFmtId="3" fontId="19" fillId="0" borderId="10" xfId="6" applyNumberFormat="1" applyFont="1" applyBorder="1" applyAlignment="1" applyProtection="1">
      <alignment vertical="center"/>
      <protection locked="0"/>
    </xf>
    <xf numFmtId="3" fontId="19" fillId="0" borderId="10" xfId="6" applyNumberFormat="1" applyFont="1" applyBorder="1" applyAlignment="1" applyProtection="1">
      <alignment vertical="center"/>
      <protection locked="0"/>
    </xf>
    <xf numFmtId="3" fontId="19" fillId="0" borderId="10" xfId="6" applyNumberFormat="1" applyFont="1" applyBorder="1" applyAlignment="1" applyProtection="1">
      <alignment vertical="center"/>
      <protection locked="0"/>
    </xf>
    <xf numFmtId="3" fontId="19" fillId="0" borderId="10" xfId="6" applyNumberFormat="1" applyFont="1" applyBorder="1" applyAlignment="1" applyProtection="1">
      <alignment vertical="center"/>
      <protection locked="0"/>
    </xf>
    <xf numFmtId="3" fontId="19" fillId="0" borderId="10" xfId="6" applyNumberFormat="1" applyFont="1" applyBorder="1" applyAlignment="1" applyProtection="1">
      <alignment vertical="center"/>
      <protection locked="0"/>
    </xf>
    <xf numFmtId="3" fontId="19" fillId="0" borderId="10" xfId="6" applyNumberFormat="1" applyFont="1" applyBorder="1" applyAlignment="1" applyProtection="1">
      <alignment vertical="center"/>
      <protection locked="0"/>
    </xf>
    <xf numFmtId="3" fontId="19" fillId="0" borderId="56" xfId="6" applyNumberFormat="1" applyFont="1" applyBorder="1" applyAlignment="1" applyProtection="1">
      <alignment horizontal="right" vertical="center"/>
      <protection locked="0"/>
    </xf>
    <xf numFmtId="3" fontId="19" fillId="0" borderId="28" xfId="6" applyNumberFormat="1" applyFont="1" applyBorder="1" applyAlignment="1" applyProtection="1">
      <alignment horizontal="right" vertical="center"/>
      <protection locked="0"/>
    </xf>
    <xf numFmtId="3" fontId="255" fillId="0" borderId="10" xfId="6" applyNumberFormat="1" applyFont="1" applyBorder="1" applyAlignment="1" applyProtection="1">
      <alignment horizontal="right" vertical="center"/>
      <protection locked="0"/>
    </xf>
    <xf numFmtId="3" fontId="255" fillId="0" borderId="56" xfId="6" applyNumberFormat="1" applyFont="1" applyBorder="1" applyAlignment="1" applyProtection="1">
      <alignment horizontal="right" vertical="center"/>
      <protection locked="0"/>
    </xf>
    <xf numFmtId="3" fontId="255" fillId="0" borderId="14" xfId="6" applyNumberFormat="1" applyFont="1" applyBorder="1" applyAlignment="1" applyProtection="1">
      <alignment horizontal="right" vertical="center"/>
      <protection locked="0"/>
    </xf>
    <xf numFmtId="3" fontId="255" fillId="0" borderId="28"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19" fillId="0" borderId="70" xfId="6" applyNumberFormat="1" applyFont="1" applyBorder="1" applyAlignment="1" applyProtection="1">
      <alignment horizontal="right" vertical="center"/>
      <protection locked="0"/>
    </xf>
    <xf numFmtId="3" fontId="254" fillId="0" borderId="56" xfId="6" applyNumberFormat="1" applyFont="1" applyBorder="1" applyAlignment="1" applyProtection="1">
      <alignment horizontal="right" vertical="center"/>
      <protection locked="0"/>
    </xf>
    <xf numFmtId="3" fontId="254" fillId="0" borderId="70" xfId="6" applyNumberFormat="1" applyFont="1" applyBorder="1" applyAlignment="1" applyProtection="1">
      <alignment horizontal="right" vertical="center"/>
      <protection locked="0"/>
    </xf>
    <xf numFmtId="3" fontId="254"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19" fillId="0" borderId="70" xfId="6" applyNumberFormat="1" applyFont="1" applyBorder="1" applyAlignment="1" applyProtection="1">
      <alignment horizontal="right" vertical="center"/>
      <protection locked="0"/>
    </xf>
    <xf numFmtId="3" fontId="19" fillId="0" borderId="28" xfId="6" applyNumberFormat="1" applyFont="1" applyBorder="1" applyAlignment="1" applyProtection="1">
      <alignment horizontal="right" vertical="center"/>
      <protection locked="0"/>
    </xf>
    <xf numFmtId="3" fontId="255" fillId="0" borderId="10" xfId="6" applyNumberFormat="1" applyFont="1" applyBorder="1" applyAlignment="1" applyProtection="1">
      <alignment horizontal="right" vertical="center"/>
      <protection locked="0"/>
    </xf>
    <xf numFmtId="3" fontId="255" fillId="0" borderId="56" xfId="6" applyNumberFormat="1" applyFont="1" applyBorder="1" applyAlignment="1" applyProtection="1">
      <alignment horizontal="right" vertical="center"/>
      <protection locked="0"/>
    </xf>
    <xf numFmtId="3" fontId="255" fillId="0" borderId="28"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70" xfId="6" applyNumberFormat="1" applyFont="1" applyBorder="1" applyAlignment="1" applyProtection="1">
      <alignment horizontal="right" vertical="center"/>
      <protection locked="0"/>
    </xf>
    <xf numFmtId="3" fontId="255" fillId="0" borderId="10" xfId="6" applyNumberFormat="1" applyFont="1" applyBorder="1" applyAlignment="1" applyProtection="1">
      <alignment horizontal="right" vertical="center"/>
      <protection locked="0"/>
    </xf>
    <xf numFmtId="3" fontId="255" fillId="0" borderId="70"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255" fillId="0" borderId="10" xfId="6" applyNumberFormat="1" applyFont="1" applyBorder="1" applyAlignment="1" applyProtection="1">
      <alignment horizontal="right" vertical="center"/>
      <protection locked="0"/>
    </xf>
    <xf numFmtId="3" fontId="255" fillId="0" borderId="56"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19" fillId="0" borderId="70" xfId="6" applyNumberFormat="1" applyFont="1" applyBorder="1" applyAlignment="1" applyProtection="1">
      <alignment horizontal="right" vertical="center"/>
      <protection locked="0"/>
    </xf>
    <xf numFmtId="3" fontId="255" fillId="0" borderId="70"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19" fillId="0" borderId="21" xfId="6" applyNumberFormat="1" applyFont="1" applyBorder="1" applyAlignment="1" applyProtection="1">
      <alignment horizontal="right" vertical="center"/>
      <protection locked="0"/>
    </xf>
    <xf numFmtId="3" fontId="19" fillId="5" borderId="69" xfId="6" applyNumberFormat="1" applyFont="1" applyFill="1" applyBorder="1" applyAlignment="1" applyProtection="1">
      <alignment horizontal="right" vertical="center"/>
      <protection locked="0"/>
    </xf>
    <xf numFmtId="3" fontId="19" fillId="5" borderId="87" xfId="6" applyNumberFormat="1" applyFont="1" applyFill="1" applyBorder="1" applyAlignment="1" applyProtection="1">
      <alignment horizontal="right" vertical="center"/>
      <protection locked="0"/>
    </xf>
    <xf numFmtId="3" fontId="19" fillId="5" borderId="18" xfId="6" applyNumberFormat="1" applyFont="1" applyFill="1" applyBorder="1" applyAlignment="1" applyProtection="1">
      <alignment horizontal="right" vertical="center"/>
      <protection locked="0"/>
    </xf>
    <xf numFmtId="3" fontId="19" fillId="5" borderId="21" xfId="6" applyNumberFormat="1" applyFont="1" applyFill="1" applyBorder="1" applyAlignment="1" applyProtection="1">
      <alignment horizontal="right" vertical="center"/>
      <protection locked="0"/>
    </xf>
    <xf numFmtId="3" fontId="255" fillId="0" borderId="18" xfId="6" applyNumberFormat="1" applyFont="1" applyBorder="1" applyAlignment="1" applyProtection="1">
      <alignment horizontal="right" vertical="center"/>
      <protection locked="0"/>
    </xf>
    <xf numFmtId="3" fontId="255" fillId="0" borderId="21"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19" fillId="0" borderId="70" xfId="6" applyNumberFormat="1" applyFont="1" applyBorder="1" applyAlignment="1" applyProtection="1">
      <alignment horizontal="right" vertical="center"/>
      <protection locked="0"/>
    </xf>
    <xf numFmtId="3" fontId="19" fillId="0" borderId="21" xfId="6" applyNumberFormat="1" applyFont="1" applyBorder="1" applyAlignment="1" applyProtection="1">
      <alignment horizontal="right" vertical="center"/>
      <protection locked="0"/>
    </xf>
    <xf numFmtId="3" fontId="19" fillId="0" borderId="18" xfId="6" applyNumberFormat="1" applyFont="1" applyBorder="1" applyAlignment="1" applyProtection="1">
      <alignment horizontal="right" vertical="center"/>
      <protection locked="0"/>
    </xf>
    <xf numFmtId="3" fontId="19" fillId="0" borderId="102" xfId="6" applyNumberFormat="1" applyFont="1" applyBorder="1" applyAlignment="1" applyProtection="1">
      <alignment horizontal="right" vertical="center"/>
      <protection locked="0"/>
    </xf>
    <xf numFmtId="3" fontId="19" fillId="0" borderId="87" xfId="6" applyNumberFormat="1" applyFont="1" applyBorder="1" applyAlignment="1" applyProtection="1">
      <alignment horizontal="right" vertical="center"/>
      <protection locked="0"/>
    </xf>
    <xf numFmtId="3" fontId="19" fillId="0" borderId="69" xfId="6" applyNumberFormat="1" applyFont="1" applyBorder="1" applyAlignment="1" applyProtection="1">
      <alignment horizontal="right" vertical="center"/>
      <protection locked="0"/>
    </xf>
    <xf numFmtId="3" fontId="19" fillId="0" borderId="74" xfId="6" applyNumberFormat="1" applyFont="1" applyBorder="1" applyAlignment="1" applyProtection="1">
      <alignment horizontal="right" vertical="center"/>
      <protection locked="0"/>
    </xf>
    <xf numFmtId="3" fontId="255" fillId="0" borderId="10" xfId="6" applyNumberFormat="1" applyFont="1" applyBorder="1" applyAlignment="1" applyProtection="1">
      <alignment horizontal="right" vertical="center"/>
      <protection locked="0"/>
    </xf>
    <xf numFmtId="3" fontId="255" fillId="0" borderId="56"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255" fillId="0" borderId="10" xfId="6" applyNumberFormat="1" applyFont="1" applyBorder="1" applyAlignment="1" applyProtection="1">
      <alignment horizontal="right" vertical="center"/>
      <protection locked="0"/>
    </xf>
    <xf numFmtId="3" fontId="255" fillId="0" borderId="56"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19" fillId="0" borderId="70" xfId="6" applyNumberFormat="1" applyFont="1" applyBorder="1" applyAlignment="1" applyProtection="1">
      <alignment horizontal="right" vertical="center"/>
      <protection locked="0"/>
    </xf>
    <xf numFmtId="3" fontId="255"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255" fillId="0" borderId="10" xfId="6" applyNumberFormat="1" applyFont="1" applyBorder="1" applyAlignment="1" applyProtection="1">
      <alignment horizontal="right" vertical="center"/>
      <protection locked="0"/>
    </xf>
    <xf numFmtId="3" fontId="255" fillId="0" borderId="56" xfId="6" applyNumberFormat="1" applyFont="1" applyBorder="1" applyAlignment="1" applyProtection="1">
      <alignment horizontal="right" vertical="center"/>
      <protection locked="0"/>
    </xf>
    <xf numFmtId="3" fontId="19" fillId="0" borderId="10" xfId="6" applyNumberFormat="1" applyFont="1" applyBorder="1" applyAlignment="1" applyProtection="1">
      <alignment horizontal="right" vertical="center"/>
      <protection locked="0"/>
    </xf>
    <xf numFmtId="3" fontId="19" fillId="0" borderId="56" xfId="6" applyNumberFormat="1" applyFont="1" applyBorder="1" applyAlignment="1" applyProtection="1">
      <alignment horizontal="right" vertical="center"/>
      <protection locked="0"/>
    </xf>
    <xf numFmtId="3" fontId="19" fillId="0" borderId="70" xfId="6" applyNumberFormat="1" applyFont="1" applyBorder="1" applyAlignment="1" applyProtection="1">
      <alignment horizontal="right" vertical="center"/>
      <protection locked="0"/>
    </xf>
    <xf numFmtId="3" fontId="255" fillId="0" borderId="70" xfId="6" applyNumberFormat="1" applyFont="1" applyBorder="1" applyAlignment="1" applyProtection="1">
      <alignment horizontal="right" vertical="center"/>
      <protection locked="0"/>
    </xf>
    <xf numFmtId="0" fontId="139" fillId="0" borderId="141" xfId="0" applyFont="1" applyBorder="1" applyAlignment="1" applyProtection="1">
      <alignment horizontal="right"/>
      <protection locked="0"/>
    </xf>
    <xf numFmtId="0" fontId="250" fillId="0" borderId="171" xfId="0" applyFont="1" applyBorder="1" applyAlignment="1" applyProtection="1">
      <alignment horizontal="center" vertical="center" wrapText="1"/>
    </xf>
    <xf numFmtId="0" fontId="251" fillId="0" borderId="132" xfId="0" applyFont="1" applyBorder="1" applyAlignment="1" applyProtection="1">
      <alignment horizontal="center" vertical="center" wrapText="1"/>
    </xf>
    <xf numFmtId="0" fontId="251" fillId="0" borderId="172" xfId="0" applyFont="1" applyBorder="1" applyAlignment="1" applyProtection="1">
      <alignment horizontal="center" vertical="center" wrapText="1"/>
    </xf>
    <xf numFmtId="0" fontId="251" fillId="0" borderId="155" xfId="0" applyFont="1" applyBorder="1" applyAlignment="1" applyProtection="1">
      <alignment horizontal="center" vertical="center" wrapText="1"/>
    </xf>
    <xf numFmtId="0" fontId="251" fillId="0" borderId="0" xfId="0" applyFont="1" applyBorder="1" applyAlignment="1" applyProtection="1">
      <alignment horizontal="center" vertical="center" wrapText="1"/>
    </xf>
    <xf numFmtId="0" fontId="251" fillId="0" borderId="186" xfId="0" applyFont="1" applyBorder="1" applyAlignment="1" applyProtection="1">
      <alignment horizontal="center" vertical="center" wrapText="1"/>
    </xf>
    <xf numFmtId="0" fontId="251" fillId="0" borderId="145" xfId="0" applyFont="1" applyBorder="1" applyAlignment="1" applyProtection="1">
      <alignment horizontal="center" vertical="center" wrapText="1"/>
    </xf>
    <xf numFmtId="0" fontId="251" fillId="0" borderId="59" xfId="0" applyFont="1" applyBorder="1" applyAlignment="1" applyProtection="1">
      <alignment horizontal="center" vertical="center" wrapText="1"/>
    </xf>
    <xf numFmtId="0" fontId="251" fillId="0" borderId="141" xfId="0" applyFont="1" applyBorder="1" applyAlignment="1" applyProtection="1">
      <alignment horizontal="center" vertical="center" wrapText="1"/>
    </xf>
    <xf numFmtId="0" fontId="134" fillId="0" borderId="0" xfId="0" applyFont="1" applyBorder="1" applyAlignment="1" applyProtection="1">
      <alignment horizontal="justify" vertical="top" wrapText="1"/>
    </xf>
    <xf numFmtId="0" fontId="14" fillId="0" borderId="0" xfId="0" applyFont="1" applyFill="1" applyBorder="1" applyAlignment="1" applyProtection="1">
      <alignment horizontal="center" vertical="center" wrapText="1"/>
    </xf>
    <xf numFmtId="0" fontId="13" fillId="3" borderId="0" xfId="0" applyFont="1" applyFill="1" applyBorder="1" applyAlignment="1" applyProtection="1">
      <alignment horizontal="center"/>
    </xf>
    <xf numFmtId="0" fontId="61" fillId="3" borderId="0" xfId="0" quotePrefix="1" applyFont="1" applyFill="1" applyAlignment="1" applyProtection="1">
      <alignment horizontal="center" vertical="center" wrapText="1"/>
    </xf>
    <xf numFmtId="0" fontId="8" fillId="0" borderId="0" xfId="0" applyFont="1" applyBorder="1" applyAlignment="1" applyProtection="1">
      <alignment horizontal="center" vertical="center"/>
    </xf>
    <xf numFmtId="0" fontId="11" fillId="0" borderId="0" xfId="0" applyFont="1" applyBorder="1" applyAlignment="1" applyProtection="1">
      <alignment horizontal="justify" vertical="top" wrapText="1"/>
    </xf>
    <xf numFmtId="0" fontId="0" fillId="0" borderId="0" xfId="0" applyBorder="1" applyAlignment="1">
      <alignment horizontal="justify" vertical="top" wrapText="1"/>
    </xf>
    <xf numFmtId="0" fontId="138" fillId="3" borderId="0" xfId="0" applyFont="1" applyFill="1" applyBorder="1" applyAlignment="1" applyProtection="1">
      <alignment horizontal="center"/>
    </xf>
    <xf numFmtId="9" fontId="168" fillId="0" borderId="0" xfId="24" applyNumberFormat="1" applyFont="1" applyAlignment="1">
      <alignment horizontal="center" vertical="center"/>
    </xf>
    <xf numFmtId="1" fontId="168" fillId="0" borderId="0" xfId="24" applyNumberFormat="1" applyFont="1" applyAlignment="1">
      <alignment horizontal="center" vertical="center"/>
    </xf>
    <xf numFmtId="1" fontId="168" fillId="0" borderId="210" xfId="24" applyNumberFormat="1" applyFont="1" applyBorder="1" applyAlignment="1">
      <alignment horizontal="center" vertical="center"/>
    </xf>
    <xf numFmtId="9" fontId="168" fillId="37" borderId="0" xfId="24" applyNumberFormat="1" applyFont="1" applyFill="1" applyAlignment="1">
      <alignment horizontal="center" vertical="center"/>
    </xf>
    <xf numFmtId="1" fontId="168" fillId="54" borderId="0" xfId="24" applyNumberFormat="1" applyFont="1" applyFill="1" applyAlignment="1">
      <alignment horizontal="center" vertical="center"/>
    </xf>
    <xf numFmtId="1" fontId="168" fillId="37" borderId="210" xfId="24" applyNumberFormat="1" applyFont="1" applyFill="1" applyBorder="1" applyAlignment="1">
      <alignment horizontal="center" vertical="center"/>
    </xf>
    <xf numFmtId="10" fontId="248" fillId="0" borderId="0" xfId="24" applyNumberFormat="1" applyFont="1" applyAlignment="1">
      <alignment horizontal="center" vertical="top" wrapText="1"/>
    </xf>
    <xf numFmtId="171" fontId="208" fillId="0" borderId="225" xfId="24" applyFont="1" applyBorder="1" applyAlignment="1">
      <alignment horizontal="center" vertical="center"/>
    </xf>
    <xf numFmtId="171" fontId="208" fillId="0" borderId="223" xfId="24" applyFont="1" applyBorder="1" applyAlignment="1">
      <alignment horizontal="center" vertical="center"/>
    </xf>
    <xf numFmtId="171" fontId="208" fillId="0" borderId="213" xfId="24" applyFont="1" applyBorder="1" applyAlignment="1">
      <alignment horizontal="center" vertical="center"/>
    </xf>
    <xf numFmtId="49" fontId="51" fillId="0" borderId="0" xfId="36" applyNumberFormat="1" applyFont="1" applyAlignment="1">
      <alignment horizontal="left" vertical="center"/>
    </xf>
    <xf numFmtId="49" fontId="31" fillId="0" borderId="0" xfId="36" applyNumberFormat="1" applyFont="1" applyAlignment="1">
      <alignment horizontal="left" vertical="center"/>
    </xf>
    <xf numFmtId="49" fontId="16" fillId="0" borderId="9" xfId="36" applyNumberFormat="1" applyFont="1" applyBorder="1" applyAlignment="1">
      <alignment horizontal="center" vertical="center"/>
    </xf>
    <xf numFmtId="0" fontId="30" fillId="0" borderId="0" xfId="36" applyFont="1" applyAlignment="1">
      <alignment horizontal="left" vertical="center"/>
    </xf>
    <xf numFmtId="1" fontId="134" fillId="0" borderId="177" xfId="30" applyNumberFormat="1" applyFont="1" applyBorder="1" applyAlignment="1">
      <alignment horizontal="center" vertical="center" wrapText="1"/>
    </xf>
    <xf numFmtId="1" fontId="134" fillId="0" borderId="147" xfId="30" applyNumberFormat="1" applyFont="1" applyBorder="1" applyAlignment="1">
      <alignment horizontal="center" vertical="center" wrapText="1"/>
    </xf>
    <xf numFmtId="9" fontId="247" fillId="0" borderId="27" xfId="32" applyFont="1" applyBorder="1" applyAlignment="1">
      <alignment horizontal="center" vertical="center" wrapText="1"/>
    </xf>
    <xf numFmtId="9" fontId="247" fillId="0" borderId="38" xfId="32" applyFont="1" applyBorder="1" applyAlignment="1">
      <alignment horizontal="center" vertical="center" wrapText="1"/>
    </xf>
    <xf numFmtId="0" fontId="19" fillId="53" borderId="27" xfId="36" applyFont="1" applyFill="1" applyBorder="1" applyAlignment="1">
      <alignment horizontal="center" vertical="center"/>
    </xf>
    <xf numFmtId="0" fontId="2" fillId="53" borderId="38" xfId="36" applyFill="1" applyBorder="1" applyAlignment="1">
      <alignment vertical="center"/>
    </xf>
    <xf numFmtId="0" fontId="16" fillId="53" borderId="56" xfId="36" applyFont="1" applyFill="1" applyBorder="1" applyAlignment="1">
      <alignment horizontal="center" vertical="center"/>
    </xf>
    <xf numFmtId="0" fontId="16" fillId="53" borderId="10" xfId="36" applyFont="1" applyFill="1" applyBorder="1" applyAlignment="1">
      <alignment horizontal="center" vertical="center"/>
    </xf>
    <xf numFmtId="0" fontId="16" fillId="0" borderId="5" xfId="36" applyFont="1" applyBorder="1" applyAlignment="1">
      <alignment horizontal="center"/>
    </xf>
    <xf numFmtId="171" fontId="134" fillId="0" borderId="88" xfId="24" applyFont="1" applyBorder="1" applyAlignment="1">
      <alignment horizontal="center" vertical="center" wrapText="1"/>
    </xf>
    <xf numFmtId="171" fontId="134" fillId="0" borderId="0" xfId="24" applyFont="1" applyAlignment="1">
      <alignment horizontal="center" vertical="center" wrapText="1"/>
    </xf>
    <xf numFmtId="171" fontId="134" fillId="0" borderId="122" xfId="24" applyFont="1" applyBorder="1" applyAlignment="1">
      <alignment horizontal="center" vertical="center" wrapText="1"/>
    </xf>
    <xf numFmtId="171" fontId="134" fillId="0" borderId="25" xfId="24" applyFont="1" applyBorder="1" applyAlignment="1">
      <alignment horizontal="center" vertical="center" wrapText="1"/>
    </xf>
    <xf numFmtId="1" fontId="247" fillId="0" borderId="88" xfId="30" applyNumberFormat="1" applyFont="1" applyBorder="1" applyAlignment="1">
      <alignment horizontal="center" vertical="center" wrapText="1"/>
    </xf>
    <xf numFmtId="1" fontId="247" fillId="0" borderId="122" xfId="30" applyNumberFormat="1" applyFont="1" applyBorder="1" applyAlignment="1">
      <alignment horizontal="center" vertical="center" wrapText="1"/>
    </xf>
    <xf numFmtId="1" fontId="134" fillId="50" borderId="0" xfId="30" applyNumberFormat="1" applyFont="1" applyFill="1" applyAlignment="1">
      <alignment horizontal="center" vertical="center"/>
    </xf>
    <xf numFmtId="1" fontId="134" fillId="50" borderId="25" xfId="30" applyNumberFormat="1" applyFont="1" applyFill="1" applyBorder="1" applyAlignment="1">
      <alignment horizontal="center" vertical="center"/>
    </xf>
    <xf numFmtId="1" fontId="213" fillId="52" borderId="0" xfId="30" applyNumberFormat="1" applyFont="1" applyFill="1" applyAlignment="1">
      <alignment horizontal="center" vertical="center" wrapText="1"/>
    </xf>
    <xf numFmtId="1" fontId="213" fillId="52" borderId="25" xfId="30" applyNumberFormat="1" applyFont="1" applyFill="1" applyBorder="1" applyAlignment="1">
      <alignment horizontal="center" vertical="center" wrapText="1"/>
    </xf>
    <xf numFmtId="1" fontId="134" fillId="52" borderId="0" xfId="30" applyNumberFormat="1" applyFont="1" applyFill="1" applyAlignment="1">
      <alignment horizontal="center" vertical="center"/>
    </xf>
    <xf numFmtId="1" fontId="134" fillId="52" borderId="25" xfId="30" applyNumberFormat="1" applyFont="1" applyFill="1" applyBorder="1" applyAlignment="1">
      <alignment horizontal="center" vertical="center"/>
    </xf>
    <xf numFmtId="1" fontId="213" fillId="50" borderId="0" xfId="30" applyNumberFormat="1" applyFont="1" applyFill="1" applyAlignment="1">
      <alignment horizontal="center" vertical="center" wrapText="1"/>
    </xf>
    <xf numFmtId="171" fontId="213" fillId="0" borderId="121" xfId="24" applyFont="1" applyBorder="1" applyAlignment="1">
      <alignment horizontal="center" vertical="center" wrapText="1"/>
    </xf>
    <xf numFmtId="171" fontId="213" fillId="0" borderId="0" xfId="24" applyFont="1" applyAlignment="1">
      <alignment horizontal="center" vertical="center" wrapText="1"/>
    </xf>
    <xf numFmtId="171" fontId="134" fillId="0" borderId="121" xfId="24" applyFont="1" applyBorder="1" applyAlignment="1">
      <alignment horizontal="center" vertical="center"/>
    </xf>
    <xf numFmtId="171" fontId="134" fillId="0" borderId="0" xfId="24" applyFont="1" applyAlignment="1">
      <alignment horizontal="center" vertical="center"/>
    </xf>
    <xf numFmtId="171" fontId="134" fillId="0" borderId="113" xfId="24" applyFont="1" applyBorder="1" applyAlignment="1">
      <alignment horizontal="center" vertical="center" wrapText="1"/>
    </xf>
    <xf numFmtId="171" fontId="134" fillId="0" borderId="177" xfId="24" applyFont="1" applyBorder="1" applyAlignment="1">
      <alignment horizontal="center" vertical="center" wrapText="1"/>
    </xf>
    <xf numFmtId="171" fontId="134" fillId="0" borderId="27" xfId="24" applyFont="1" applyBorder="1" applyAlignment="1">
      <alignment horizontal="center" vertical="center" wrapText="1"/>
    </xf>
    <xf numFmtId="171" fontId="134" fillId="0" borderId="90" xfId="24" applyFont="1" applyBorder="1" applyAlignment="1">
      <alignment horizontal="center" vertical="center" wrapText="1"/>
    </xf>
    <xf numFmtId="171" fontId="134" fillId="0" borderId="112" xfId="24" applyFont="1" applyBorder="1" applyAlignment="1">
      <alignment horizontal="center" vertical="center" wrapText="1"/>
    </xf>
    <xf numFmtId="171" fontId="134" fillId="0" borderId="121" xfId="24" applyFont="1" applyBorder="1" applyAlignment="1">
      <alignment horizontal="center" vertical="center" wrapText="1"/>
    </xf>
    <xf numFmtId="1" fontId="247" fillId="0" borderId="112" xfId="30" applyNumberFormat="1" applyFont="1" applyBorder="1" applyAlignment="1">
      <alignment horizontal="center" vertical="center" wrapText="1"/>
    </xf>
    <xf numFmtId="1" fontId="134" fillId="50" borderId="121" xfId="30" applyNumberFormat="1" applyFont="1" applyFill="1" applyBorder="1" applyAlignment="1">
      <alignment horizontal="center" vertical="center"/>
    </xf>
    <xf numFmtId="1" fontId="213" fillId="51" borderId="121" xfId="30" applyNumberFormat="1" applyFont="1" applyFill="1" applyBorder="1" applyAlignment="1">
      <alignment horizontal="center" vertical="center" wrapText="1"/>
    </xf>
    <xf numFmtId="1" fontId="213" fillId="51" borderId="0" xfId="30" applyNumberFormat="1" applyFont="1" applyFill="1" applyAlignment="1">
      <alignment horizontal="center" vertical="center" wrapText="1"/>
    </xf>
    <xf numFmtId="1" fontId="134" fillId="52" borderId="121" xfId="30" applyNumberFormat="1" applyFont="1" applyFill="1" applyBorder="1" applyAlignment="1">
      <alignment horizontal="center" vertical="center"/>
    </xf>
    <xf numFmtId="1" fontId="134" fillId="0" borderId="113" xfId="30" applyNumberFormat="1" applyFont="1" applyBorder="1" applyAlignment="1">
      <alignment horizontal="center" vertical="center" wrapText="1"/>
    </xf>
    <xf numFmtId="0" fontId="19" fillId="0" borderId="28" xfId="36" applyFont="1" applyBorder="1" applyAlignment="1">
      <alignment horizontal="center"/>
    </xf>
    <xf numFmtId="0" fontId="2" fillId="0" borderId="21" xfId="36" applyBorder="1"/>
    <xf numFmtId="0" fontId="16" fillId="0" borderId="10" xfId="36" applyFont="1" applyBorder="1" applyAlignment="1">
      <alignment horizontal="center" vertical="center"/>
    </xf>
    <xf numFmtId="9" fontId="243" fillId="40" borderId="0" xfId="24" applyNumberFormat="1" applyFont="1" applyFill="1" applyAlignment="1" applyProtection="1">
      <alignment horizontal="left" vertical="center"/>
      <protection hidden="1"/>
    </xf>
    <xf numFmtId="9" fontId="225" fillId="40" borderId="25" xfId="24" applyNumberFormat="1" applyFont="1" applyFill="1" applyBorder="1" applyAlignment="1" applyProtection="1">
      <alignment horizontal="left" vertical="center"/>
      <protection hidden="1"/>
    </xf>
    <xf numFmtId="171" fontId="134" fillId="40" borderId="112" xfId="24" applyFont="1" applyFill="1" applyBorder="1" applyAlignment="1">
      <alignment horizontal="center" vertical="center"/>
    </xf>
    <xf numFmtId="171" fontId="134" fillId="40" borderId="121" xfId="24" applyFont="1" applyFill="1" applyBorder="1" applyAlignment="1">
      <alignment horizontal="center" vertical="center"/>
    </xf>
    <xf numFmtId="171" fontId="134" fillId="40" borderId="88" xfId="24" applyFont="1" applyFill="1" applyBorder="1" applyAlignment="1">
      <alignment horizontal="center" vertical="center"/>
    </xf>
    <xf numFmtId="171" fontId="134" fillId="40" borderId="0" xfId="24" applyFont="1" applyFill="1" applyAlignment="1">
      <alignment horizontal="center" vertical="center"/>
    </xf>
    <xf numFmtId="171" fontId="134" fillId="40" borderId="122" xfId="24" applyFont="1" applyFill="1" applyBorder="1" applyAlignment="1">
      <alignment horizontal="center" vertical="center"/>
    </xf>
    <xf numFmtId="171" fontId="134" fillId="40" borderId="25" xfId="24" applyFont="1" applyFill="1" applyBorder="1" applyAlignment="1">
      <alignment horizontal="center" vertical="center"/>
    </xf>
    <xf numFmtId="1" fontId="244" fillId="40" borderId="121" xfId="24" applyNumberFormat="1" applyFont="1" applyFill="1" applyBorder="1" applyAlignment="1">
      <alignment horizontal="center" vertical="center"/>
    </xf>
    <xf numFmtId="1" fontId="244" fillId="40" borderId="0" xfId="24" applyNumberFormat="1" applyFont="1" applyFill="1" applyAlignment="1">
      <alignment horizontal="center" vertical="center"/>
    </xf>
    <xf numFmtId="1" fontId="244" fillId="40" borderId="25" xfId="24" applyNumberFormat="1" applyFont="1" applyFill="1" applyBorder="1" applyAlignment="1">
      <alignment horizontal="center" vertical="center"/>
    </xf>
    <xf numFmtId="0" fontId="16" fillId="0" borderId="5" xfId="36" applyFont="1" applyBorder="1" applyAlignment="1">
      <alignment horizontal="center" vertical="center"/>
    </xf>
    <xf numFmtId="171" fontId="134" fillId="40" borderId="112" xfId="24" applyFont="1" applyFill="1" applyBorder="1" applyAlignment="1">
      <alignment horizontal="center" vertical="center" wrapText="1"/>
    </xf>
    <xf numFmtId="171" fontId="134" fillId="40" borderId="88" xfId="24" applyFont="1" applyFill="1" applyBorder="1" applyAlignment="1">
      <alignment horizontal="center" vertical="center" wrapText="1"/>
    </xf>
    <xf numFmtId="171" fontId="134" fillId="40" borderId="122" xfId="24" applyFont="1" applyFill="1" applyBorder="1" applyAlignment="1">
      <alignment horizontal="center" vertical="center" wrapText="1"/>
    </xf>
    <xf numFmtId="171" fontId="134" fillId="40" borderId="121" xfId="24" applyFont="1" applyFill="1" applyBorder="1" applyAlignment="1">
      <alignment horizontal="center" vertical="center" wrapText="1"/>
    </xf>
    <xf numFmtId="171" fontId="134" fillId="40" borderId="0" xfId="24" applyFont="1" applyFill="1" applyAlignment="1">
      <alignment horizontal="center" vertical="center" wrapText="1"/>
    </xf>
    <xf numFmtId="9" fontId="241" fillId="40" borderId="121" xfId="24" applyNumberFormat="1" applyFont="1" applyFill="1" applyBorder="1" applyAlignment="1" applyProtection="1">
      <alignment horizontal="left" vertical="center"/>
      <protection hidden="1"/>
    </xf>
    <xf numFmtId="9" fontId="241" fillId="40" borderId="0" xfId="24" applyNumberFormat="1" applyFont="1" applyFill="1" applyAlignment="1" applyProtection="1">
      <alignment horizontal="left" vertical="center"/>
      <protection hidden="1"/>
    </xf>
    <xf numFmtId="9" fontId="225" fillId="37" borderId="25" xfId="24" applyNumberFormat="1" applyFont="1" applyFill="1" applyBorder="1" applyAlignment="1">
      <alignment horizontal="center" vertical="center"/>
    </xf>
    <xf numFmtId="9" fontId="225" fillId="37" borderId="147" xfId="24" applyNumberFormat="1" applyFont="1" applyFill="1" applyBorder="1" applyAlignment="1">
      <alignment horizontal="center" vertical="center"/>
    </xf>
    <xf numFmtId="171" fontId="239" fillId="40" borderId="242" xfId="24" applyFont="1" applyFill="1" applyBorder="1" applyAlignment="1">
      <alignment horizontal="left" vertical="center"/>
    </xf>
    <xf numFmtId="171" fontId="239" fillId="40" borderId="248" xfId="24" applyFont="1" applyFill="1" applyBorder="1" applyAlignment="1">
      <alignment horizontal="left" vertical="center"/>
    </xf>
    <xf numFmtId="171" fontId="239" fillId="40" borderId="243" xfId="24" applyFont="1" applyFill="1" applyBorder="1" applyAlignment="1">
      <alignment horizontal="left" vertical="center"/>
    </xf>
    <xf numFmtId="171" fontId="239" fillId="40" borderId="122" xfId="24" applyFont="1" applyFill="1" applyBorder="1" applyAlignment="1">
      <alignment horizontal="left" vertical="center"/>
    </xf>
    <xf numFmtId="171" fontId="239" fillId="40" borderId="25" xfId="24" applyFont="1" applyFill="1" applyBorder="1" applyAlignment="1">
      <alignment horizontal="left" vertical="center"/>
    </xf>
    <xf numFmtId="171" fontId="239" fillId="40" borderId="147" xfId="24" applyFont="1" applyFill="1" applyBorder="1" applyAlignment="1">
      <alignment horizontal="left" vertical="center"/>
    </xf>
    <xf numFmtId="171" fontId="225" fillId="37" borderId="122" xfId="24" applyFont="1" applyFill="1" applyBorder="1" applyAlignment="1">
      <alignment horizontal="center" vertical="center"/>
    </xf>
    <xf numFmtId="171" fontId="225" fillId="37" borderId="25" xfId="24" applyFont="1" applyFill="1" applyBorder="1" applyAlignment="1">
      <alignment horizontal="center" vertical="center"/>
    </xf>
    <xf numFmtId="1" fontId="146" fillId="0" borderId="0" xfId="24" applyNumberFormat="1" applyFont="1" applyAlignment="1" applyProtection="1">
      <alignment horizontal="center" vertical="center"/>
      <protection hidden="1"/>
    </xf>
    <xf numFmtId="171" fontId="2" fillId="40" borderId="27" xfId="24" applyFont="1" applyFill="1" applyBorder="1" applyAlignment="1">
      <alignment horizontal="center" vertical="center" wrapText="1"/>
    </xf>
    <xf numFmtId="171" fontId="2" fillId="40" borderId="90" xfId="24" applyFont="1" applyFill="1" applyBorder="1" applyAlignment="1">
      <alignment horizontal="center" vertical="center" wrapText="1"/>
    </xf>
    <xf numFmtId="171" fontId="2" fillId="40" borderId="38" xfId="24" applyFont="1" applyFill="1" applyBorder="1" applyAlignment="1">
      <alignment horizontal="center" vertical="center" wrapText="1"/>
    </xf>
    <xf numFmtId="171" fontId="225" fillId="37" borderId="112" xfId="24" applyFont="1" applyFill="1" applyBorder="1" applyAlignment="1">
      <alignment horizontal="center" vertical="center" wrapText="1"/>
    </xf>
    <xf numFmtId="171" fontId="225" fillId="37" borderId="121" xfId="24" applyFont="1" applyFill="1" applyBorder="1" applyAlignment="1">
      <alignment horizontal="center" vertical="center" wrapText="1"/>
    </xf>
    <xf numFmtId="171" fontId="225" fillId="37" borderId="113" xfId="24" applyFont="1" applyFill="1" applyBorder="1" applyAlignment="1">
      <alignment horizontal="center" vertical="center" wrapText="1"/>
    </xf>
    <xf numFmtId="171" fontId="225" fillId="37" borderId="88" xfId="24" applyFont="1" applyFill="1" applyBorder="1" applyAlignment="1">
      <alignment horizontal="center" vertical="center" wrapText="1"/>
    </xf>
    <xf numFmtId="171" fontId="225" fillId="37" borderId="0" xfId="24" applyFont="1" applyFill="1" applyAlignment="1">
      <alignment horizontal="center" vertical="center" wrapText="1"/>
    </xf>
    <xf numFmtId="171" fontId="225" fillId="37" borderId="177" xfId="24" applyFont="1" applyFill="1" applyBorder="1" applyAlignment="1">
      <alignment horizontal="center" vertical="center" wrapText="1"/>
    </xf>
    <xf numFmtId="171" fontId="225" fillId="37" borderId="88" xfId="24" applyFont="1" applyFill="1" applyBorder="1" applyAlignment="1">
      <alignment horizontal="left" vertical="center" wrapText="1"/>
    </xf>
    <xf numFmtId="171" fontId="225" fillId="37" borderId="0" xfId="24" applyFont="1" applyFill="1" applyAlignment="1">
      <alignment horizontal="left" vertical="center" wrapText="1"/>
    </xf>
    <xf numFmtId="171" fontId="225" fillId="37" borderId="122" xfId="24" applyFont="1" applyFill="1" applyBorder="1" applyAlignment="1">
      <alignment horizontal="left" vertical="center"/>
    </xf>
    <xf numFmtId="171" fontId="225" fillId="37" borderId="25" xfId="24" applyFont="1" applyFill="1" applyBorder="1" applyAlignment="1">
      <alignment horizontal="left" vertical="center"/>
    </xf>
    <xf numFmtId="9" fontId="225" fillId="37" borderId="0" xfId="24" applyNumberFormat="1" applyFont="1" applyFill="1" applyAlignment="1">
      <alignment horizontal="center" vertical="center"/>
    </xf>
    <xf numFmtId="9" fontId="225" fillId="37" borderId="177" xfId="24" applyNumberFormat="1" applyFont="1" applyFill="1" applyBorder="1" applyAlignment="1">
      <alignment horizontal="center" vertical="center"/>
    </xf>
    <xf numFmtId="171" fontId="134" fillId="40" borderId="24" xfId="24" applyFont="1" applyFill="1" applyBorder="1" applyAlignment="1">
      <alignment horizontal="center" vertical="center" wrapText="1"/>
    </xf>
    <xf numFmtId="3" fontId="225" fillId="40" borderId="24" xfId="24" applyNumberFormat="1" applyFont="1" applyFill="1" applyBorder="1" applyAlignment="1">
      <alignment horizontal="left" vertical="center" wrapText="1"/>
    </xf>
    <xf numFmtId="171" fontId="2" fillId="40" borderId="112" xfId="24" applyFont="1" applyFill="1" applyBorder="1" applyAlignment="1">
      <alignment horizontal="center" vertical="center" wrapText="1"/>
    </xf>
    <xf numFmtId="171" fontId="2" fillId="40" borderId="88" xfId="24" applyFont="1" applyFill="1" applyBorder="1" applyAlignment="1">
      <alignment horizontal="center" vertical="center" wrapText="1"/>
    </xf>
    <xf numFmtId="171" fontId="2" fillId="40" borderId="122" xfId="24" applyFont="1" applyFill="1" applyBorder="1" applyAlignment="1">
      <alignment horizontal="center" vertical="center" wrapText="1"/>
    </xf>
    <xf numFmtId="9" fontId="139" fillId="40" borderId="121" xfId="24" applyNumberFormat="1" applyFont="1" applyFill="1" applyBorder="1" applyAlignment="1" applyProtection="1">
      <alignment horizontal="left" vertical="center"/>
      <protection hidden="1"/>
    </xf>
    <xf numFmtId="9" fontId="139" fillId="40" borderId="0" xfId="24" applyNumberFormat="1" applyFont="1" applyFill="1" applyAlignment="1" applyProtection="1">
      <alignment horizontal="left" vertical="center"/>
      <protection hidden="1"/>
    </xf>
    <xf numFmtId="171" fontId="234" fillId="40" borderId="25" xfId="24" applyFont="1" applyFill="1" applyBorder="1" applyAlignment="1">
      <alignment horizontal="left" vertical="center"/>
    </xf>
    <xf numFmtId="171" fontId="134" fillId="0" borderId="177" xfId="24" applyFont="1" applyBorder="1" applyAlignment="1">
      <alignment horizontal="center" vertical="center"/>
    </xf>
    <xf numFmtId="171" fontId="134" fillId="0" borderId="90" xfId="24" applyFont="1" applyBorder="1" applyAlignment="1">
      <alignment horizontal="center" vertical="center"/>
    </xf>
    <xf numFmtId="171" fontId="134" fillId="0" borderId="88" xfId="24" applyFont="1" applyBorder="1" applyAlignment="1">
      <alignment horizontal="center" vertical="center"/>
    </xf>
    <xf numFmtId="171" fontId="2" fillId="40" borderId="121" xfId="24" applyFont="1" applyFill="1" applyBorder="1" applyAlignment="1">
      <alignment horizontal="center" vertical="center"/>
    </xf>
    <xf numFmtId="171" fontId="2" fillId="40" borderId="0" xfId="24" applyFont="1" applyFill="1" applyAlignment="1">
      <alignment horizontal="center" vertical="center"/>
    </xf>
    <xf numFmtId="1" fontId="232" fillId="40" borderId="121" xfId="24" applyNumberFormat="1" applyFont="1" applyFill="1" applyBorder="1" applyAlignment="1" applyProtection="1">
      <alignment horizontal="center" vertical="center"/>
      <protection hidden="1"/>
    </xf>
    <xf numFmtId="1" fontId="232" fillId="40" borderId="0" xfId="24" applyNumberFormat="1" applyFont="1" applyFill="1" applyAlignment="1" applyProtection="1">
      <alignment horizontal="center" vertical="center"/>
      <protection hidden="1"/>
    </xf>
    <xf numFmtId="9" fontId="232" fillId="40" borderId="121" xfId="24" applyNumberFormat="1" applyFont="1" applyFill="1" applyBorder="1" applyAlignment="1" applyProtection="1">
      <alignment horizontal="left" vertical="center"/>
      <protection hidden="1"/>
    </xf>
    <xf numFmtId="9" fontId="232" fillId="40" borderId="0" xfId="24" applyNumberFormat="1" applyFont="1" applyFill="1" applyAlignment="1" applyProtection="1">
      <alignment horizontal="left" vertical="center"/>
      <protection hidden="1"/>
    </xf>
    <xf numFmtId="0" fontId="2" fillId="12" borderId="24" xfId="36" applyFill="1" applyBorder="1" applyAlignment="1">
      <alignment horizontal="left" wrapText="1"/>
    </xf>
    <xf numFmtId="171" fontId="134" fillId="0" borderId="24" xfId="24" applyFont="1" applyBorder="1" applyAlignment="1">
      <alignment horizontal="center" vertical="center"/>
    </xf>
    <xf numFmtId="171" fontId="134" fillId="0" borderId="242" xfId="24" applyFont="1" applyBorder="1" applyAlignment="1">
      <alignment horizontal="center" vertical="center"/>
    </xf>
    <xf numFmtId="171" fontId="134" fillId="0" borderId="243" xfId="24" applyFont="1" applyBorder="1" applyAlignment="1">
      <alignment horizontal="center" vertical="center"/>
    </xf>
    <xf numFmtId="171" fontId="134" fillId="0" borderId="0" xfId="24" applyFont="1" applyAlignment="1">
      <alignment horizontal="center"/>
    </xf>
    <xf numFmtId="171" fontId="225" fillId="40" borderId="240" xfId="24" applyFont="1" applyFill="1" applyBorder="1" applyAlignment="1">
      <alignment horizontal="center" vertical="center"/>
    </xf>
    <xf numFmtId="171" fontId="225" fillId="40" borderId="229" xfId="24" applyFont="1" applyFill="1" applyBorder="1" applyAlignment="1">
      <alignment horizontal="center" vertical="center"/>
    </xf>
    <xf numFmtId="1" fontId="225" fillId="40" borderId="231" xfId="37" applyNumberFormat="1" applyFont="1" applyFill="1" applyBorder="1" applyAlignment="1">
      <alignment horizontal="center" vertical="center"/>
    </xf>
    <xf numFmtId="1" fontId="225" fillId="40" borderId="241" xfId="37" applyNumberFormat="1" applyFont="1" applyFill="1" applyBorder="1" applyAlignment="1">
      <alignment horizontal="center" vertical="center"/>
    </xf>
    <xf numFmtId="171" fontId="227" fillId="37" borderId="88" xfId="24" applyFont="1" applyFill="1" applyBorder="1" applyAlignment="1">
      <alignment horizontal="left"/>
    </xf>
    <xf numFmtId="171" fontId="227" fillId="37" borderId="0" xfId="24" applyFont="1" applyFill="1" applyAlignment="1">
      <alignment horizontal="left"/>
    </xf>
    <xf numFmtId="171" fontId="227" fillId="37" borderId="177" xfId="24" applyFont="1" applyFill="1" applyBorder="1" applyAlignment="1">
      <alignment horizontal="left"/>
    </xf>
    <xf numFmtId="171" fontId="134" fillId="30" borderId="24" xfId="24" applyFont="1" applyFill="1" applyBorder="1" applyAlignment="1">
      <alignment horizontal="center" vertical="center"/>
    </xf>
    <xf numFmtId="171" fontId="134" fillId="30" borderId="242" xfId="24" applyFont="1" applyFill="1" applyBorder="1" applyAlignment="1">
      <alignment horizontal="center" vertical="center"/>
    </xf>
    <xf numFmtId="171" fontId="134" fillId="30" borderId="243" xfId="24" applyFont="1" applyFill="1" applyBorder="1" applyAlignment="1">
      <alignment horizontal="center" vertical="center"/>
    </xf>
    <xf numFmtId="171" fontId="145" fillId="0" borderId="0" xfId="24" applyFont="1" applyAlignment="1">
      <alignment horizontal="left" vertical="center" wrapText="1"/>
    </xf>
    <xf numFmtId="171" fontId="221" fillId="0" borderId="0" xfId="24" applyFont="1" applyAlignment="1">
      <alignment horizontal="left" vertical="top" wrapText="1"/>
    </xf>
    <xf numFmtId="171" fontId="222" fillId="0" borderId="0" xfId="24" applyFont="1" applyAlignment="1">
      <alignment horizontal="left" vertical="top" wrapText="1"/>
    </xf>
    <xf numFmtId="171" fontId="196" fillId="0" borderId="0" xfId="24" applyFont="1" applyAlignment="1">
      <alignment horizontal="left" vertical="top" wrapText="1" readingOrder="1"/>
    </xf>
    <xf numFmtId="171" fontId="144" fillId="0" borderId="0" xfId="24" applyFont="1" applyAlignment="1">
      <alignment horizontal="center" vertical="top"/>
    </xf>
    <xf numFmtId="171" fontId="252" fillId="0" borderId="0" xfId="24" applyFont="1" applyAlignment="1">
      <alignment horizontal="left" wrapText="1" readingOrder="1"/>
    </xf>
    <xf numFmtId="171" fontId="226" fillId="0" borderId="0" xfId="24" applyFont="1" applyAlignment="1" applyProtection="1">
      <alignment horizontal="center" vertical="center"/>
      <protection hidden="1"/>
    </xf>
    <xf numFmtId="175" fontId="228" fillId="42" borderId="0" xfId="30" applyNumberFormat="1" applyFont="1" applyFill="1" applyAlignment="1" applyProtection="1">
      <alignment horizontal="center"/>
      <protection hidden="1"/>
    </xf>
    <xf numFmtId="171" fontId="225" fillId="40" borderId="230" xfId="24" applyFont="1" applyFill="1" applyBorder="1" applyAlignment="1">
      <alignment horizontal="center" vertical="center" wrapText="1"/>
    </xf>
    <xf numFmtId="171" fontId="225" fillId="40" borderId="240" xfId="24" applyFont="1" applyFill="1" applyBorder="1" applyAlignment="1">
      <alignment horizontal="center" vertical="center" wrapText="1"/>
    </xf>
    <xf numFmtId="171" fontId="225" fillId="40" borderId="0" xfId="24" applyFont="1" applyFill="1" applyAlignment="1">
      <alignment horizontal="center" vertical="center" wrapText="1"/>
    </xf>
    <xf numFmtId="171" fontId="134" fillId="0" borderId="0" xfId="24" applyFont="1" applyAlignment="1">
      <alignment horizontal="left" vertical="center"/>
    </xf>
    <xf numFmtId="171" fontId="147" fillId="0" borderId="0" xfId="24" applyFont="1" applyAlignment="1">
      <alignment horizontal="right" vertical="center"/>
    </xf>
    <xf numFmtId="171" fontId="227" fillId="40" borderId="112" xfId="24" applyFont="1" applyFill="1" applyBorder="1" applyAlignment="1">
      <alignment horizontal="center"/>
    </xf>
    <xf numFmtId="171" fontId="227" fillId="40" borderId="121" xfId="24" applyFont="1" applyFill="1" applyBorder="1" applyAlignment="1">
      <alignment horizontal="center"/>
    </xf>
    <xf numFmtId="171" fontId="227" fillId="40" borderId="113" xfId="24" applyFont="1" applyFill="1" applyBorder="1" applyAlignment="1">
      <alignment horizontal="center"/>
    </xf>
    <xf numFmtId="171" fontId="226" fillId="40" borderId="0" xfId="24" applyFont="1" applyFill="1" applyAlignment="1" applyProtection="1">
      <alignment horizontal="center" vertical="center"/>
      <protection hidden="1"/>
    </xf>
    <xf numFmtId="0" fontId="226" fillId="40" borderId="0" xfId="24" applyNumberFormat="1" applyFont="1" applyFill="1" applyAlignment="1" applyProtection="1">
      <alignment horizontal="center" vertical="center"/>
      <protection hidden="1"/>
    </xf>
    <xf numFmtId="0" fontId="226" fillId="40" borderId="25" xfId="24" applyNumberFormat="1" applyFont="1" applyFill="1" applyBorder="1" applyAlignment="1" applyProtection="1">
      <alignment horizontal="center" vertical="center"/>
      <protection hidden="1"/>
    </xf>
    <xf numFmtId="171" fontId="134" fillId="0" borderId="0" xfId="24" applyFont="1" applyAlignment="1">
      <alignment horizontal="center" vertical="top"/>
    </xf>
    <xf numFmtId="1" fontId="134" fillId="0" borderId="0" xfId="24" applyNumberFormat="1" applyFont="1" applyAlignment="1">
      <alignment horizontal="center" vertical="top"/>
    </xf>
    <xf numFmtId="171" fontId="223" fillId="0" borderId="0" xfId="24" applyFont="1" applyAlignment="1">
      <alignment horizontal="center" vertical="center"/>
    </xf>
    <xf numFmtId="171" fontId="165" fillId="32" borderId="0" xfId="34" applyFont="1" applyFill="1" applyAlignment="1">
      <alignment horizontal="center" vertical="center" shrinkToFit="1"/>
    </xf>
    <xf numFmtId="171" fontId="217" fillId="0" borderId="0" xfId="24" applyFont="1" applyAlignment="1">
      <alignment horizontal="left" vertical="center" wrapText="1"/>
    </xf>
    <xf numFmtId="171" fontId="219" fillId="0" borderId="0" xfId="24" applyFont="1" applyAlignment="1">
      <alignment horizontal="center" vertical="center" wrapText="1" readingOrder="1"/>
    </xf>
    <xf numFmtId="187" fontId="152" fillId="0" borderId="0" xfId="24" applyNumberFormat="1" applyFont="1" applyAlignment="1">
      <alignment horizontal="center" vertical="center" shrinkToFit="1"/>
    </xf>
    <xf numFmtId="171" fontId="168" fillId="0" borderId="204" xfId="24" applyFont="1" applyBorder="1" applyAlignment="1">
      <alignment horizontal="left" vertical="top" wrapText="1"/>
    </xf>
    <xf numFmtId="171" fontId="168" fillId="0" borderId="0" xfId="24" applyFont="1" applyAlignment="1">
      <alignment horizontal="left" vertical="top" wrapText="1"/>
    </xf>
    <xf numFmtId="171" fontId="134" fillId="0" borderId="0" xfId="24" applyFont="1" applyAlignment="1">
      <alignment horizontal="left" vertical="center" shrinkToFit="1" readingOrder="1"/>
    </xf>
    <xf numFmtId="171" fontId="196" fillId="0" borderId="0" xfId="24" applyFont="1" applyAlignment="1">
      <alignment horizontal="left" vertical="top" shrinkToFit="1" readingOrder="1"/>
    </xf>
    <xf numFmtId="171" fontId="134" fillId="0" borderId="0" xfId="24" applyFont="1" applyAlignment="1">
      <alignment horizontal="left" vertical="top" wrapText="1"/>
    </xf>
    <xf numFmtId="171" fontId="144" fillId="0" borderId="0" xfId="24" applyFont="1" applyAlignment="1">
      <alignment horizontal="center" vertical="center"/>
    </xf>
    <xf numFmtId="171" fontId="217" fillId="0" borderId="0" xfId="24" applyFont="1" applyAlignment="1">
      <alignment horizontal="left" wrapText="1"/>
    </xf>
    <xf numFmtId="171" fontId="195" fillId="0" borderId="0" xfId="24" applyFont="1" applyAlignment="1">
      <alignment horizontal="justify" vertical="center" wrapText="1" readingOrder="1"/>
    </xf>
    <xf numFmtId="171" fontId="218" fillId="0" borderId="0" xfId="29" applyFont="1" applyAlignment="1">
      <alignment horizontal="left" vertical="center"/>
    </xf>
    <xf numFmtId="186" fontId="218" fillId="0" borderId="0" xfId="29" applyNumberFormat="1" applyFont="1" applyAlignment="1">
      <alignment horizontal="left" vertical="center"/>
    </xf>
    <xf numFmtId="171" fontId="57" fillId="0" borderId="0" xfId="24" applyFont="1" applyAlignment="1">
      <alignment horizontal="justify" vertical="top" wrapText="1" readingOrder="1"/>
    </xf>
    <xf numFmtId="171" fontId="145" fillId="0" borderId="0" xfId="24" applyFont="1" applyAlignment="1">
      <alignment horizontal="left" vertical="top" shrinkToFit="1" readingOrder="1"/>
    </xf>
    <xf numFmtId="171" fontId="144" fillId="0" borderId="0" xfId="24" applyFont="1" applyAlignment="1">
      <alignment horizontal="right" vertical="top"/>
    </xf>
    <xf numFmtId="171" fontId="208" fillId="0" borderId="213" xfId="24" applyFont="1" applyBorder="1" applyAlignment="1">
      <alignment horizontal="left" vertical="center" indent="1"/>
    </xf>
    <xf numFmtId="171" fontId="208" fillId="0" borderId="223" xfId="24" applyFont="1" applyBorder="1" applyAlignment="1">
      <alignment horizontal="left" vertical="center" indent="1"/>
    </xf>
    <xf numFmtId="0" fontId="147" fillId="0" borderId="0" xfId="36" applyFont="1" applyAlignment="1">
      <alignment horizontal="left" vertical="top" wrapText="1"/>
    </xf>
    <xf numFmtId="171" fontId="145" fillId="0" borderId="0" xfId="24" applyFont="1" applyAlignment="1">
      <alignment horizontal="center" vertical="top" wrapText="1" readingOrder="1"/>
    </xf>
    <xf numFmtId="171" fontId="195" fillId="0" borderId="0" xfId="24" applyFont="1" applyAlignment="1">
      <alignment horizontal="left" vertical="center" shrinkToFit="1" readingOrder="1"/>
    </xf>
    <xf numFmtId="171" fontId="134" fillId="0" borderId="0" xfId="24" applyFont="1" applyAlignment="1">
      <alignment horizontal="left" vertical="center" indent="1" shrinkToFit="1" readingOrder="1"/>
    </xf>
    <xf numFmtId="171" fontId="206" fillId="0" borderId="0" xfId="24" applyFont="1" applyAlignment="1">
      <alignment horizontal="center" vertical="center" wrapText="1" readingOrder="1"/>
    </xf>
    <xf numFmtId="171" fontId="210" fillId="0" borderId="0" xfId="24" applyFont="1" applyAlignment="1">
      <alignment horizontal="left" vertical="center" readingOrder="1"/>
    </xf>
    <xf numFmtId="9" fontId="168" fillId="0" borderId="0" xfId="24" applyNumberFormat="1" applyFont="1" applyAlignment="1">
      <alignment horizontal="left" vertical="center" indent="1"/>
    </xf>
    <xf numFmtId="9" fontId="168" fillId="0" borderId="229" xfId="24" applyNumberFormat="1" applyFont="1" applyBorder="1" applyAlignment="1">
      <alignment horizontal="left" vertical="center" indent="1"/>
    </xf>
    <xf numFmtId="171" fontId="158" fillId="37" borderId="211" xfId="24" applyFont="1" applyFill="1" applyBorder="1" applyAlignment="1">
      <alignment horizontal="center" vertical="center"/>
    </xf>
    <xf numFmtId="171" fontId="158" fillId="37" borderId="212" xfId="24" applyFont="1" applyFill="1" applyBorder="1" applyAlignment="1">
      <alignment horizontal="center" vertical="center"/>
    </xf>
    <xf numFmtId="10" fontId="158" fillId="37" borderId="211" xfId="24" applyNumberFormat="1" applyFont="1" applyFill="1" applyBorder="1" applyAlignment="1">
      <alignment horizontal="center" vertical="center"/>
    </xf>
    <xf numFmtId="10" fontId="158" fillId="37" borderId="212" xfId="24" applyNumberFormat="1" applyFont="1" applyFill="1" applyBorder="1" applyAlignment="1">
      <alignment horizontal="center" vertical="center"/>
    </xf>
    <xf numFmtId="171" fontId="184" fillId="0" borderId="0" xfId="24" applyFont="1" applyAlignment="1">
      <alignment horizontal="left" vertical="top" wrapText="1" readingOrder="1"/>
    </xf>
    <xf numFmtId="9" fontId="168" fillId="37" borderId="208" xfId="24" applyNumberFormat="1" applyFont="1" applyFill="1" applyBorder="1" applyAlignment="1">
      <alignment horizontal="left" vertical="center" indent="1"/>
    </xf>
    <xf numFmtId="9" fontId="168" fillId="37" borderId="233" xfId="24" applyNumberFormat="1" applyFont="1" applyFill="1" applyBorder="1" applyAlignment="1">
      <alignment horizontal="left" vertical="center" indent="1"/>
    </xf>
    <xf numFmtId="0" fontId="147" fillId="0" borderId="0" xfId="36" applyFont="1" applyAlignment="1">
      <alignment horizontal="center" wrapText="1"/>
    </xf>
    <xf numFmtId="171" fontId="144" fillId="0" borderId="208" xfId="24" applyFont="1" applyBorder="1" applyAlignment="1">
      <alignment horizontal="center" vertical="top"/>
    </xf>
    <xf numFmtId="171" fontId="145" fillId="0" borderId="0" xfId="24" applyFont="1" applyAlignment="1">
      <alignment horizontal="justify" vertical="top" wrapText="1"/>
    </xf>
    <xf numFmtId="171" fontId="145" fillId="0" borderId="0" xfId="24" applyFont="1" applyAlignment="1">
      <alignment horizontal="left" vertical="top" wrapText="1"/>
    </xf>
    <xf numFmtId="171" fontId="134" fillId="0" borderId="0" xfId="24" applyFont="1" applyAlignment="1">
      <alignment horizontal="justify" vertical="center" wrapText="1"/>
    </xf>
    <xf numFmtId="171" fontId="171" fillId="37" borderId="210" xfId="24" applyFont="1" applyFill="1" applyBorder="1" applyAlignment="1">
      <alignment horizontal="center" vertical="center" wrapText="1"/>
    </xf>
    <xf numFmtId="171" fontId="171" fillId="37" borderId="208" xfId="24" applyFont="1" applyFill="1" applyBorder="1" applyAlignment="1">
      <alignment horizontal="center" vertical="center" wrapText="1"/>
    </xf>
    <xf numFmtId="171" fontId="207" fillId="0" borderId="222" xfId="24" applyFont="1" applyBorder="1" applyAlignment="1">
      <alignment horizontal="center" vertical="center" wrapText="1"/>
    </xf>
    <xf numFmtId="171" fontId="209" fillId="0" borderId="0" xfId="24" applyFont="1" applyAlignment="1">
      <alignment horizontal="justify" vertical="center" wrapText="1" readingOrder="1"/>
    </xf>
    <xf numFmtId="9" fontId="168" fillId="37" borderId="0" xfId="24" applyNumberFormat="1" applyFont="1" applyFill="1" applyAlignment="1">
      <alignment horizontal="left" vertical="center" indent="1"/>
    </xf>
    <xf numFmtId="9" fontId="168" fillId="37" borderId="229" xfId="24" applyNumberFormat="1" applyFont="1" applyFill="1" applyBorder="1" applyAlignment="1">
      <alignment horizontal="left" vertical="center" indent="1"/>
    </xf>
    <xf numFmtId="171" fontId="154" fillId="0" borderId="0" xfId="24" applyFont="1" applyAlignment="1">
      <alignment horizontal="right" vertical="center"/>
    </xf>
    <xf numFmtId="171" fontId="168" fillId="32" borderId="0" xfId="24" applyFont="1" applyFill="1" applyAlignment="1">
      <alignment horizontal="left" vertical="center" wrapText="1"/>
    </xf>
    <xf numFmtId="183" fontId="135" fillId="0" borderId="222" xfId="24" applyNumberFormat="1" applyFont="1" applyBorder="1" applyAlignment="1">
      <alignment horizontal="center" vertical="center" wrapText="1"/>
    </xf>
    <xf numFmtId="171" fontId="184" fillId="0" borderId="0" xfId="24" applyFont="1" applyAlignment="1">
      <alignment horizontal="left" vertical="center" wrapText="1" readingOrder="1"/>
    </xf>
    <xf numFmtId="171" fontId="207" fillId="0" borderId="0" xfId="24" applyFont="1" applyAlignment="1">
      <alignment horizontal="center" vertical="center" wrapText="1"/>
    </xf>
    <xf numFmtId="171" fontId="207" fillId="0" borderId="212" xfId="24" applyFont="1" applyBorder="1" applyAlignment="1">
      <alignment horizontal="center" vertical="center" wrapText="1"/>
    </xf>
    <xf numFmtId="171" fontId="152" fillId="0" borderId="0" xfId="24" applyFont="1" applyAlignment="1">
      <alignment horizontal="center" vertical="top" wrapText="1"/>
    </xf>
    <xf numFmtId="9" fontId="168" fillId="0" borderId="210" xfId="24" applyNumberFormat="1" applyFont="1" applyBorder="1" applyAlignment="1">
      <alignment horizontal="left" vertical="center" indent="1"/>
    </xf>
    <xf numFmtId="9" fontId="168" fillId="0" borderId="226" xfId="24" applyNumberFormat="1" applyFont="1" applyBorder="1" applyAlignment="1">
      <alignment horizontal="left" vertical="center" indent="1"/>
    </xf>
    <xf numFmtId="171" fontId="152" fillId="0" borderId="0" xfId="24" applyFont="1" applyAlignment="1">
      <alignment horizontal="center" vertical="center" wrapText="1"/>
    </xf>
    <xf numFmtId="171" fontId="152" fillId="0" borderId="208" xfId="24" applyFont="1" applyBorder="1" applyAlignment="1">
      <alignment horizontal="center" vertical="center" wrapText="1"/>
    </xf>
    <xf numFmtId="2" fontId="170" fillId="0" borderId="210" xfId="24" applyNumberFormat="1" applyFont="1" applyBorder="1" applyAlignment="1">
      <alignment horizontal="center" vertical="center" wrapText="1"/>
    </xf>
    <xf numFmtId="2" fontId="170" fillId="0" borderId="208" xfId="24" applyNumberFormat="1" applyFont="1" applyBorder="1" applyAlignment="1">
      <alignment horizontal="center" vertical="center" wrapText="1"/>
    </xf>
    <xf numFmtId="171" fontId="168" fillId="55" borderId="0" xfId="24" applyFont="1" applyFill="1" applyAlignment="1">
      <alignment horizontal="left" wrapText="1" readingOrder="1"/>
    </xf>
    <xf numFmtId="171" fontId="144" fillId="0" borderId="0" xfId="24" applyFont="1" applyFill="1" applyAlignment="1">
      <alignment horizontal="center" vertical="top"/>
    </xf>
    <xf numFmtId="171" fontId="145" fillId="0" borderId="0" xfId="24" applyFont="1" applyFill="1" applyAlignment="1">
      <alignment horizontal="left" vertical="top" wrapText="1"/>
    </xf>
    <xf numFmtId="171" fontId="206" fillId="0" borderId="0" xfId="24" applyFont="1" applyAlignment="1">
      <alignment horizontal="center" vertical="center" wrapText="1"/>
    </xf>
    <xf numFmtId="171" fontId="206" fillId="0" borderId="221" xfId="24" applyFont="1" applyBorder="1" applyAlignment="1">
      <alignment horizontal="center" vertical="center" wrapText="1"/>
    </xf>
    <xf numFmtId="171" fontId="162" fillId="35" borderId="0" xfId="24" applyFont="1" applyFill="1" applyAlignment="1">
      <alignment horizontal="center" vertical="center" wrapText="1"/>
    </xf>
    <xf numFmtId="171" fontId="158" fillId="0" borderId="211" xfId="24" applyFont="1" applyBorder="1" applyAlignment="1">
      <alignment horizontal="center" vertical="center"/>
    </xf>
    <xf numFmtId="171" fontId="158" fillId="0" borderId="212" xfId="24" applyFont="1" applyBorder="1" applyAlignment="1">
      <alignment horizontal="center" vertical="center"/>
    </xf>
    <xf numFmtId="10" fontId="207" fillId="0" borderId="211" xfId="24" applyNumberFormat="1" applyFont="1" applyBorder="1" applyAlignment="1">
      <alignment horizontal="center" vertical="center"/>
    </xf>
    <xf numFmtId="10" fontId="207" fillId="0" borderId="212" xfId="24" applyNumberFormat="1" applyFont="1" applyBorder="1" applyAlignment="1">
      <alignment horizontal="center" vertical="center"/>
    </xf>
    <xf numFmtId="171" fontId="212" fillId="0" borderId="0" xfId="24" applyFont="1" applyAlignment="1">
      <alignment horizontal="left" vertical="center" wrapText="1"/>
    </xf>
    <xf numFmtId="171" fontId="195" fillId="0" borderId="0" xfId="24" applyFont="1" applyAlignment="1">
      <alignment horizontal="left" vertical="top" wrapText="1" readingOrder="1"/>
    </xf>
    <xf numFmtId="180" fontId="146" fillId="0" borderId="0" xfId="24" applyNumberFormat="1" applyFont="1" applyAlignment="1">
      <alignment horizontal="left" vertical="center"/>
    </xf>
    <xf numFmtId="4" fontId="215" fillId="0" borderId="0" xfId="24" applyNumberFormat="1" applyFont="1" applyAlignment="1">
      <alignment horizontal="left" vertical="center" wrapText="1"/>
    </xf>
    <xf numFmtId="171" fontId="154" fillId="0" borderId="0" xfId="24" applyFont="1" applyAlignment="1">
      <alignment horizontal="right" vertical="center" wrapText="1"/>
    </xf>
    <xf numFmtId="181" fontId="165" fillId="0" borderId="0" xfId="24" applyNumberFormat="1" applyFont="1" applyAlignment="1">
      <alignment horizontal="left" vertical="center" wrapText="1"/>
    </xf>
    <xf numFmtId="171" fontId="152" fillId="0" borderId="210" xfId="24" applyFont="1" applyBorder="1" applyAlignment="1">
      <alignment horizontal="center" vertical="center" wrapText="1"/>
    </xf>
    <xf numFmtId="171" fontId="168" fillId="55" borderId="0" xfId="24" applyFont="1" applyFill="1" applyAlignment="1">
      <alignment horizontal="left" vertical="center" wrapText="1"/>
    </xf>
    <xf numFmtId="9" fontId="191" fillId="0" borderId="0" xfId="24" applyNumberFormat="1" applyFont="1" applyAlignment="1">
      <alignment horizontal="left" vertical="center" indent="1"/>
    </xf>
    <xf numFmtId="180" fontId="191" fillId="0" borderId="0" xfId="24" applyNumberFormat="1" applyFont="1" applyAlignment="1">
      <alignment horizontal="right" vertical="center" indent="2"/>
    </xf>
    <xf numFmtId="180" fontId="168" fillId="37" borderId="220" xfId="24" applyNumberFormat="1" applyFont="1" applyFill="1" applyBorder="1" applyAlignment="1">
      <alignment horizontal="right" vertical="center" indent="2"/>
    </xf>
    <xf numFmtId="171" fontId="201" fillId="0" borderId="0" xfId="24" applyFont="1" applyAlignment="1">
      <alignment horizontal="left" vertical="center" readingOrder="1"/>
    </xf>
    <xf numFmtId="2" fontId="163" fillId="0" borderId="210" xfId="24" applyNumberFormat="1" applyFont="1" applyBorder="1" applyAlignment="1">
      <alignment horizontal="center" vertical="center" wrapText="1"/>
    </xf>
    <xf numFmtId="2" fontId="163" fillId="0" borderId="208" xfId="24" applyNumberFormat="1" applyFont="1" applyBorder="1" applyAlignment="1">
      <alignment horizontal="center" vertical="center" wrapText="1"/>
    </xf>
    <xf numFmtId="2" fontId="147" fillId="0" borderId="210" xfId="24" applyNumberFormat="1" applyFont="1" applyBorder="1" applyAlignment="1">
      <alignment horizontal="center" vertical="center" wrapText="1"/>
    </xf>
    <xf numFmtId="2" fontId="147" fillId="0" borderId="208" xfId="24" applyNumberFormat="1" applyFont="1" applyBorder="1" applyAlignment="1">
      <alignment horizontal="center" vertical="center" wrapText="1"/>
    </xf>
    <xf numFmtId="171" fontId="134" fillId="0" borderId="0" xfId="24" applyFont="1" applyAlignment="1">
      <alignment horizontal="justify" vertical="top" wrapText="1"/>
    </xf>
    <xf numFmtId="9" fontId="168" fillId="37" borderId="220" xfId="24" applyNumberFormat="1" applyFont="1" applyFill="1" applyBorder="1" applyAlignment="1">
      <alignment horizontal="left" vertical="center" indent="1"/>
    </xf>
    <xf numFmtId="180" fontId="168" fillId="0" borderId="0" xfId="24" applyNumberFormat="1" applyFont="1" applyAlignment="1">
      <alignment horizontal="right" vertical="center" indent="2"/>
    </xf>
    <xf numFmtId="171" fontId="134" fillId="0" borderId="0" xfId="24" applyFont="1" applyAlignment="1">
      <alignment horizontal="left" vertical="center" shrinkToFit="1"/>
    </xf>
    <xf numFmtId="171" fontId="212" fillId="0" borderId="0" xfId="24" applyFont="1" applyAlignment="1">
      <alignment horizontal="left" vertical="top" wrapText="1"/>
    </xf>
    <xf numFmtId="0" fontId="152" fillId="0" borderId="236" xfId="36" applyFont="1" applyBorder="1" applyAlignment="1">
      <alignment horizontal="left" vertical="center"/>
    </xf>
    <xf numFmtId="180" fontId="168" fillId="37" borderId="0" xfId="24" applyNumberFormat="1" applyFont="1" applyFill="1" applyAlignment="1">
      <alignment horizontal="right" vertical="center" indent="2"/>
    </xf>
    <xf numFmtId="171" fontId="151" fillId="0" borderId="216" xfId="24" applyFont="1" applyBorder="1" applyAlignment="1">
      <alignment horizontal="center" vertical="center" wrapText="1"/>
    </xf>
    <xf numFmtId="171" fontId="152" fillId="0" borderId="216" xfId="24" applyFont="1" applyBorder="1" applyAlignment="1">
      <alignment horizontal="center" vertical="center" wrapText="1"/>
    </xf>
    <xf numFmtId="171" fontId="152" fillId="0" borderId="217" xfId="24" applyFont="1" applyBorder="1" applyAlignment="1">
      <alignment horizontal="center" vertical="center" wrapText="1"/>
    </xf>
    <xf numFmtId="171" fontId="152" fillId="0" borderId="219" xfId="24" applyFont="1" applyBorder="1" applyAlignment="1">
      <alignment horizontal="center" vertical="center" wrapText="1"/>
    </xf>
    <xf numFmtId="171" fontId="144" fillId="0" borderId="0" xfId="24" applyFont="1" applyAlignment="1">
      <alignment horizontal="right" vertical="center"/>
    </xf>
    <xf numFmtId="177" fontId="194" fillId="0" borderId="0" xfId="24" applyNumberFormat="1" applyFont="1" applyAlignment="1">
      <alignment horizontal="left" vertical="center" wrapText="1"/>
    </xf>
    <xf numFmtId="171" fontId="163" fillId="0" borderId="0" xfId="24" applyFont="1" applyAlignment="1">
      <alignment horizontal="center" vertical="center" wrapText="1"/>
    </xf>
    <xf numFmtId="171" fontId="195" fillId="34" borderId="0" xfId="24" applyFont="1" applyFill="1" applyAlignment="1">
      <alignment horizontal="center" vertical="center" readingOrder="1"/>
    </xf>
    <xf numFmtId="171" fontId="195" fillId="34" borderId="0" xfId="24" applyFont="1" applyFill="1" applyAlignment="1">
      <alignment horizontal="center" readingOrder="1"/>
    </xf>
    <xf numFmtId="171" fontId="145" fillId="0" borderId="0" xfId="24" applyFont="1" applyAlignment="1">
      <alignment horizontal="left" wrapText="1"/>
    </xf>
    <xf numFmtId="171" fontId="144" fillId="0" borderId="0" xfId="24" applyFont="1" applyAlignment="1">
      <alignment horizontal="left" vertical="center" wrapText="1"/>
    </xf>
    <xf numFmtId="171" fontId="189" fillId="0" borderId="0" xfId="24" applyFont="1" applyAlignment="1">
      <alignment horizontal="left" vertical="center" wrapText="1"/>
    </xf>
    <xf numFmtId="171" fontId="191" fillId="0" borderId="0" xfId="24" applyFont="1" applyAlignment="1">
      <alignment horizontal="center" vertical="center"/>
    </xf>
    <xf numFmtId="171" fontId="145" fillId="0" borderId="0" xfId="24" applyFont="1" applyAlignment="1">
      <alignment horizontal="left" vertical="top"/>
    </xf>
    <xf numFmtId="171" fontId="163" fillId="0" borderId="0" xfId="24" applyFont="1" applyAlignment="1">
      <alignment horizontal="center" vertical="center" wrapText="1" readingOrder="1"/>
    </xf>
    <xf numFmtId="180" fontId="168" fillId="0" borderId="215" xfId="24" applyNumberFormat="1" applyFont="1" applyBorder="1" applyAlignment="1">
      <alignment horizontal="right" vertical="center" indent="2"/>
    </xf>
    <xf numFmtId="179" fontId="146" fillId="0" borderId="0" xfId="24" applyNumberFormat="1" applyFont="1" applyAlignment="1">
      <alignment horizontal="right" vertical="center"/>
    </xf>
    <xf numFmtId="171" fontId="135" fillId="37" borderId="210" xfId="24" applyFont="1" applyFill="1" applyBorder="1" applyAlignment="1">
      <alignment horizontal="center" vertical="center" wrapText="1"/>
    </xf>
    <xf numFmtId="171" fontId="135" fillId="37" borderId="208" xfId="24" applyFont="1" applyFill="1" applyBorder="1" applyAlignment="1">
      <alignment horizontal="center" vertical="center" wrapText="1"/>
    </xf>
    <xf numFmtId="171" fontId="186" fillId="37" borderId="210" xfId="24" applyFont="1" applyFill="1" applyBorder="1" applyAlignment="1">
      <alignment horizontal="center" vertical="center"/>
    </xf>
    <xf numFmtId="171" fontId="186" fillId="37" borderId="208" xfId="24" applyFont="1" applyFill="1" applyBorder="1" applyAlignment="1">
      <alignment horizontal="center" vertical="center"/>
    </xf>
    <xf numFmtId="178" fontId="184" fillId="37" borderId="210" xfId="24" applyNumberFormat="1" applyFont="1" applyFill="1" applyBorder="1" applyAlignment="1">
      <alignment horizontal="right" vertical="center" wrapText="1" indent="1"/>
    </xf>
    <xf numFmtId="178" fontId="184" fillId="37" borderId="208" xfId="24" applyNumberFormat="1" applyFont="1" applyFill="1" applyBorder="1" applyAlignment="1">
      <alignment horizontal="right" vertical="center" wrapText="1" indent="1"/>
    </xf>
    <xf numFmtId="9" fontId="168" fillId="0" borderId="215" xfId="24" applyNumberFormat="1" applyFont="1" applyBorder="1" applyAlignment="1">
      <alignment horizontal="left" vertical="center" indent="1"/>
    </xf>
    <xf numFmtId="0" fontId="165" fillId="0" borderId="0" xfId="36" applyFont="1" applyAlignment="1">
      <alignment horizontal="left" vertical="center" wrapText="1"/>
    </xf>
    <xf numFmtId="10" fontId="190" fillId="0" borderId="0" xfId="24" applyNumberFormat="1" applyFont="1" applyAlignment="1">
      <alignment horizontal="center" vertical="center" wrapText="1"/>
    </xf>
    <xf numFmtId="171" fontId="151" fillId="0" borderId="0" xfId="24" applyFont="1" applyAlignment="1">
      <alignment horizontal="justify" wrapText="1"/>
    </xf>
    <xf numFmtId="171" fontId="152" fillId="0" borderId="0" xfId="24" applyFont="1" applyAlignment="1">
      <alignment horizontal="justify" wrapText="1"/>
    </xf>
    <xf numFmtId="171" fontId="146" fillId="0" borderId="0" xfId="24" applyFont="1" applyAlignment="1">
      <alignment horizontal="left" vertical="center" wrapText="1"/>
    </xf>
    <xf numFmtId="171" fontId="196" fillId="0" borderId="0" xfId="24" applyFont="1" applyAlignment="1">
      <alignment horizontal="center" vertical="center" readingOrder="1"/>
    </xf>
    <xf numFmtId="171" fontId="152" fillId="0" borderId="0" xfId="24" applyFont="1" applyAlignment="1">
      <alignment horizontal="center" vertical="center"/>
    </xf>
    <xf numFmtId="9" fontId="152" fillId="0" borderId="0" xfId="32" applyFont="1" applyAlignment="1">
      <alignment horizontal="center" vertical="center"/>
    </xf>
    <xf numFmtId="171" fontId="136" fillId="0" borderId="210" xfId="24" applyFont="1" applyBorder="1" applyAlignment="1">
      <alignment horizontal="center" vertical="center" wrapText="1"/>
    </xf>
    <xf numFmtId="171" fontId="136" fillId="0" borderId="208" xfId="24" applyFont="1" applyBorder="1" applyAlignment="1">
      <alignment horizontal="center" vertical="center" wrapText="1"/>
    </xf>
    <xf numFmtId="171" fontId="186" fillId="0" borderId="210" xfId="24" applyFont="1" applyBorder="1" applyAlignment="1">
      <alignment horizontal="center" vertical="center"/>
    </xf>
    <xf numFmtId="171" fontId="186" fillId="0" borderId="208" xfId="24" applyFont="1" applyBorder="1" applyAlignment="1">
      <alignment horizontal="center" vertical="center"/>
    </xf>
    <xf numFmtId="177" fontId="182" fillId="0" borderId="0" xfId="24" applyNumberFormat="1" applyFont="1" applyAlignment="1">
      <alignment horizontal="left" vertical="top" wrapText="1"/>
    </xf>
    <xf numFmtId="171" fontId="183" fillId="37" borderId="208" xfId="24" applyFont="1" applyFill="1" applyBorder="1" applyAlignment="1">
      <alignment horizontal="center" vertical="center" wrapText="1"/>
    </xf>
    <xf numFmtId="171" fontId="152" fillId="0" borderId="0" xfId="24" applyFont="1" applyAlignment="1">
      <alignment horizontal="center" vertical="center" shrinkToFit="1"/>
    </xf>
    <xf numFmtId="10" fontId="173" fillId="0" borderId="212" xfId="24" applyNumberFormat="1" applyFont="1" applyBorder="1" applyAlignment="1">
      <alignment horizontal="center" vertical="center" wrapText="1"/>
    </xf>
    <xf numFmtId="171" fontId="185" fillId="0" borderId="0" xfId="24" applyFont="1" applyAlignment="1">
      <alignment horizontal="center" vertical="center"/>
    </xf>
    <xf numFmtId="171" fontId="165" fillId="0" borderId="0" xfId="24" applyFont="1" applyAlignment="1">
      <alignment horizontal="left" vertical="center" wrapText="1"/>
    </xf>
    <xf numFmtId="178" fontId="184" fillId="0" borderId="210" xfId="24" applyNumberFormat="1" applyFont="1" applyBorder="1" applyAlignment="1">
      <alignment horizontal="right" vertical="center" wrapText="1" indent="1"/>
    </xf>
    <xf numFmtId="178" fontId="184" fillId="0" borderId="208" xfId="24" applyNumberFormat="1" applyFont="1" applyBorder="1" applyAlignment="1">
      <alignment horizontal="right" vertical="center" wrapText="1" indent="1"/>
    </xf>
    <xf numFmtId="171" fontId="156" fillId="34" borderId="0" xfId="34" applyFont="1" applyFill="1" applyAlignment="1">
      <alignment horizontal="center" vertical="center" shrinkToFit="1"/>
    </xf>
    <xf numFmtId="171" fontId="151" fillId="0" borderId="0" xfId="24" applyFont="1" applyAlignment="1">
      <alignment horizontal="left" vertical="top" wrapText="1"/>
    </xf>
    <xf numFmtId="171" fontId="152" fillId="0" borderId="0" xfId="24" applyFont="1" applyAlignment="1">
      <alignment horizontal="left" vertical="top" wrapText="1"/>
    </xf>
    <xf numFmtId="171" fontId="174" fillId="0" borderId="0" xfId="24" applyFont="1" applyAlignment="1">
      <alignment horizontal="left" vertical="center" wrapText="1"/>
    </xf>
    <xf numFmtId="171" fontId="136" fillId="0" borderId="0" xfId="24" quotePrefix="1" applyFont="1" applyAlignment="1">
      <alignment horizontal="center" vertical="center" wrapText="1"/>
    </xf>
    <xf numFmtId="171" fontId="181" fillId="0" borderId="209" xfId="24" applyFont="1" applyBorder="1" applyAlignment="1">
      <alignment horizontal="center" vertical="center" wrapText="1"/>
    </xf>
    <xf numFmtId="10" fontId="135" fillId="0" borderId="209" xfId="24" applyNumberFormat="1" applyFont="1" applyBorder="1" applyAlignment="1">
      <alignment horizontal="center" vertical="center" wrapText="1"/>
    </xf>
    <xf numFmtId="10" fontId="135" fillId="0" borderId="211" xfId="24" applyNumberFormat="1" applyFont="1" applyBorder="1" applyAlignment="1">
      <alignment horizontal="center" vertical="center" wrapText="1"/>
    </xf>
    <xf numFmtId="2" fontId="186" fillId="0" borderId="210" xfId="24" applyNumberFormat="1" applyFont="1" applyBorder="1" applyAlignment="1">
      <alignment horizontal="center" vertical="center"/>
    </xf>
    <xf numFmtId="2" fontId="186" fillId="0" borderId="208" xfId="24" applyNumberFormat="1" applyFont="1" applyBorder="1" applyAlignment="1">
      <alignment horizontal="center" vertical="center"/>
    </xf>
    <xf numFmtId="171" fontId="156" fillId="29" borderId="0" xfId="34" applyFont="1" applyAlignment="1">
      <alignment horizontal="center" vertical="center" shrinkToFit="1"/>
    </xf>
    <xf numFmtId="171" fontId="154" fillId="0" borderId="211" xfId="24" applyFont="1" applyBorder="1" applyAlignment="1">
      <alignment horizontal="center" vertical="center"/>
    </xf>
    <xf numFmtId="171" fontId="180" fillId="0" borderId="0" xfId="24" applyFont="1" applyAlignment="1">
      <alignment horizontal="center" vertical="center" wrapText="1" readingOrder="1"/>
    </xf>
    <xf numFmtId="171" fontId="134" fillId="0" borderId="214" xfId="24" applyFont="1" applyBorder="1" applyAlignment="1">
      <alignment horizontal="center" vertical="center" wrapText="1"/>
    </xf>
    <xf numFmtId="171" fontId="175" fillId="0" borderId="0" xfId="24" applyFont="1" applyAlignment="1">
      <alignment horizontal="center" vertical="center" wrapText="1"/>
    </xf>
    <xf numFmtId="171" fontId="166" fillId="0" borderId="209" xfId="24" applyFont="1" applyBorder="1" applyAlignment="1">
      <alignment horizontal="center" vertical="center" wrapText="1"/>
    </xf>
    <xf numFmtId="171" fontId="178" fillId="0" borderId="210" xfId="24" applyFont="1" applyBorder="1" applyAlignment="1">
      <alignment horizontal="right" vertical="center"/>
    </xf>
    <xf numFmtId="171" fontId="171" fillId="0" borderId="0" xfId="24" applyFont="1" applyAlignment="1">
      <alignment horizontal="center" vertical="center"/>
    </xf>
    <xf numFmtId="171" fontId="171" fillId="37" borderId="0" xfId="24" applyFont="1" applyFill="1" applyAlignment="1">
      <alignment horizontal="center" vertical="center" wrapText="1"/>
    </xf>
    <xf numFmtId="171" fontId="168" fillId="0" borderId="0" xfId="24" applyFont="1" applyAlignment="1">
      <alignment horizontal="left" vertical="center" wrapText="1"/>
    </xf>
    <xf numFmtId="2" fontId="169" fillId="0" borderId="210" xfId="24" applyNumberFormat="1" applyFont="1" applyBorder="1" applyAlignment="1">
      <alignment horizontal="center" vertical="center" wrapText="1"/>
    </xf>
    <xf numFmtId="2" fontId="169" fillId="0" borderId="208" xfId="24" applyNumberFormat="1" applyFont="1" applyBorder="1" applyAlignment="1">
      <alignment horizontal="center" vertical="center" wrapText="1"/>
    </xf>
    <xf numFmtId="171" fontId="171" fillId="37" borderId="0" xfId="24" applyFont="1" applyFill="1" applyAlignment="1">
      <alignment horizontal="left" vertical="center" wrapText="1" indent="1"/>
    </xf>
    <xf numFmtId="171" fontId="171" fillId="37" borderId="0" xfId="24" applyFont="1" applyFill="1" applyAlignment="1">
      <alignment horizontal="center" vertical="center"/>
    </xf>
    <xf numFmtId="3" fontId="135" fillId="0" borderId="210" xfId="24" applyNumberFormat="1" applyFont="1" applyBorder="1" applyAlignment="1">
      <alignment horizontal="center" vertical="center" wrapText="1"/>
    </xf>
    <xf numFmtId="3" fontId="135" fillId="0" borderId="208" xfId="24" applyNumberFormat="1" applyFont="1" applyBorder="1" applyAlignment="1">
      <alignment horizontal="center" vertical="center" wrapText="1"/>
    </xf>
    <xf numFmtId="171" fontId="153" fillId="0" borderId="0" xfId="24" applyFont="1" applyAlignment="1">
      <alignment horizontal="left" vertical="center"/>
    </xf>
    <xf numFmtId="171" fontId="157" fillId="34" borderId="0" xfId="24" applyFont="1" applyFill="1" applyAlignment="1">
      <alignment horizontal="center" vertical="center" wrapText="1"/>
    </xf>
    <xf numFmtId="176" fontId="157" fillId="0" borderId="0" xfId="24" applyNumberFormat="1" applyFont="1" applyAlignment="1">
      <alignment horizontal="center" vertical="center" wrapText="1"/>
    </xf>
    <xf numFmtId="11" fontId="158" fillId="34" borderId="0" xfId="24" applyNumberFormat="1" applyFont="1" applyFill="1" applyAlignment="1">
      <alignment horizontal="center" vertical="center" wrapText="1"/>
    </xf>
    <xf numFmtId="171" fontId="147" fillId="0" borderId="0" xfId="24" applyFont="1" applyAlignment="1">
      <alignment horizontal="center" vertical="center"/>
    </xf>
    <xf numFmtId="1" fontId="157" fillId="34" borderId="0" xfId="24" applyNumberFormat="1" applyFont="1" applyFill="1" applyAlignment="1">
      <alignment horizontal="center" vertical="center" wrapText="1"/>
    </xf>
    <xf numFmtId="10" fontId="159" fillId="0" borderId="0" xfId="24" applyNumberFormat="1" applyFont="1" applyAlignment="1">
      <alignment horizontal="center" vertical="top" wrapText="1"/>
    </xf>
    <xf numFmtId="171" fontId="147" fillId="0" borderId="0" xfId="24" applyFont="1" applyAlignment="1">
      <alignment horizontal="justify" vertical="top" wrapText="1"/>
    </xf>
    <xf numFmtId="10" fontId="145" fillId="0" borderId="0" xfId="24" applyNumberFormat="1" applyFont="1" applyAlignment="1">
      <alignment horizontal="justify" vertical="top" wrapText="1"/>
    </xf>
    <xf numFmtId="10" fontId="163" fillId="0" borderId="0" xfId="24" applyNumberFormat="1" applyFont="1" applyAlignment="1">
      <alignment horizontal="center" vertical="top" wrapText="1"/>
    </xf>
    <xf numFmtId="171" fontId="163" fillId="0" borderId="0" xfId="24" applyFont="1" applyAlignment="1">
      <alignment horizontal="center" vertical="center"/>
    </xf>
    <xf numFmtId="171" fontId="163" fillId="0" borderId="208" xfId="24" applyFont="1" applyBorder="1" applyAlignment="1">
      <alignment horizontal="center" vertical="center"/>
    </xf>
    <xf numFmtId="171" fontId="164" fillId="0" borderId="0" xfId="24" applyFont="1" applyAlignment="1">
      <alignment horizontal="left" vertical="center"/>
    </xf>
    <xf numFmtId="171" fontId="249" fillId="0" borderId="0" xfId="24" applyFont="1" applyAlignment="1">
      <alignment horizontal="center" vertical="center"/>
    </xf>
    <xf numFmtId="171" fontId="149" fillId="0" borderId="0" xfId="24" applyFont="1" applyAlignment="1">
      <alignment horizontal="center" vertical="center"/>
    </xf>
    <xf numFmtId="49" fontId="150" fillId="0" borderId="0" xfId="24" applyNumberFormat="1" applyFont="1" applyAlignment="1">
      <alignment horizontal="left" vertical="center" shrinkToFit="1"/>
    </xf>
    <xf numFmtId="0" fontId="20" fillId="0" borderId="197" xfId="0" applyFont="1" applyFill="1" applyBorder="1" applyAlignment="1" applyProtection="1">
      <alignment horizontal="center"/>
    </xf>
    <xf numFmtId="0" fontId="20" fillId="0" borderId="146" xfId="0" applyFont="1" applyFill="1" applyBorder="1" applyAlignment="1" applyProtection="1">
      <alignment horizontal="center"/>
    </xf>
    <xf numFmtId="0" fontId="20" fillId="0" borderId="198" xfId="0" applyFont="1" applyFill="1" applyBorder="1" applyAlignment="1" applyProtection="1">
      <alignment horizontal="center"/>
    </xf>
    <xf numFmtId="49" fontId="16" fillId="0" borderId="78" xfId="0" quotePrefix="1" applyNumberFormat="1" applyFont="1" applyFill="1" applyBorder="1" applyAlignment="1" applyProtection="1">
      <alignment horizontal="left" vertical="center"/>
      <protection locked="0"/>
    </xf>
    <xf numFmtId="49" fontId="16" fillId="0" borderId="78" xfId="0" applyNumberFormat="1" applyFont="1" applyFill="1" applyBorder="1" applyAlignment="1" applyProtection="1">
      <alignment horizontal="left" vertical="center"/>
      <protection locked="0"/>
    </xf>
    <xf numFmtId="49" fontId="0" fillId="0" borderId="4" xfId="0" quotePrefix="1" applyNumberFormat="1" applyFill="1" applyBorder="1" applyAlignment="1" applyProtection="1">
      <protection locked="0"/>
    </xf>
    <xf numFmtId="49" fontId="0" fillId="0" borderId="5" xfId="0" applyNumberFormat="1" applyFill="1" applyBorder="1" applyAlignment="1" applyProtection="1">
      <protection locked="0"/>
    </xf>
    <xf numFmtId="49" fontId="0" fillId="0" borderId="6" xfId="0" applyNumberFormat="1" applyFill="1" applyBorder="1" applyAlignment="1" applyProtection="1">
      <protection locked="0"/>
    </xf>
    <xf numFmtId="165" fontId="0" fillId="0" borderId="78" xfId="0" quotePrefix="1" applyNumberFormat="1" applyFill="1" applyBorder="1" applyAlignment="1" applyProtection="1">
      <protection locked="0"/>
    </xf>
    <xf numFmtId="165" fontId="0" fillId="0" borderId="78" xfId="0" applyNumberFormat="1" applyFill="1" applyBorder="1" applyAlignment="1" applyProtection="1">
      <protection locked="0"/>
    </xf>
    <xf numFmtId="0" fontId="20" fillId="0" borderId="194" xfId="0" applyFont="1" applyFill="1" applyBorder="1" applyAlignment="1" applyProtection="1">
      <alignment horizontal="center"/>
    </xf>
    <xf numFmtId="0" fontId="20" fillId="0" borderId="195" xfId="0" applyFont="1" applyFill="1" applyBorder="1" applyAlignment="1" applyProtection="1">
      <alignment horizontal="center"/>
    </xf>
    <xf numFmtId="0" fontId="20" fillId="0" borderId="196" xfId="0" applyFont="1" applyFill="1" applyBorder="1" applyAlignment="1" applyProtection="1">
      <alignment horizontal="center"/>
    </xf>
    <xf numFmtId="165" fontId="0" fillId="0" borderId="4" xfId="0" quotePrefix="1" applyNumberFormat="1" applyFill="1" applyBorder="1" applyAlignment="1" applyProtection="1">
      <protection locked="0"/>
    </xf>
    <xf numFmtId="165" fontId="0" fillId="0" borderId="5" xfId="0" applyNumberFormat="1" applyFill="1"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3" fontId="0" fillId="0" borderId="20" xfId="0" applyNumberFormat="1" applyFill="1" applyBorder="1" applyAlignment="1" applyProtection="1">
      <alignment vertical="center"/>
      <protection locked="0"/>
    </xf>
    <xf numFmtId="0" fontId="14" fillId="0" borderId="0" xfId="0" applyFont="1" applyFill="1" applyBorder="1" applyAlignment="1" applyProtection="1">
      <alignment horizontal="center"/>
    </xf>
    <xf numFmtId="49" fontId="0" fillId="0" borderId="145" xfId="0" applyNumberFormat="1" applyFont="1" applyFill="1" applyBorder="1" applyAlignment="1" applyProtection="1">
      <protection locked="0"/>
    </xf>
    <xf numFmtId="49" fontId="34" fillId="0" borderId="59" xfId="0" applyNumberFormat="1" applyFont="1" applyBorder="1" applyAlignment="1" applyProtection="1">
      <protection locked="0"/>
    </xf>
    <xf numFmtId="49" fontId="34" fillId="0" borderId="141" xfId="0" applyNumberFormat="1" applyFont="1" applyBorder="1" applyAlignment="1" applyProtection="1">
      <protection locked="0"/>
    </xf>
    <xf numFmtId="49" fontId="34" fillId="0" borderId="145" xfId="0" quotePrefix="1" applyNumberFormat="1" applyFont="1" applyFill="1" applyBorder="1" applyAlignment="1" applyProtection="1">
      <alignment horizontal="left" vertical="center"/>
      <protection locked="0"/>
    </xf>
    <xf numFmtId="49" fontId="34" fillId="0" borderId="59" xfId="0" applyNumberFormat="1" applyFont="1" applyBorder="1" applyAlignment="1" applyProtection="1">
      <alignment horizontal="left" vertical="center"/>
      <protection locked="0"/>
    </xf>
    <xf numFmtId="49" fontId="34" fillId="0" borderId="141" xfId="0" applyNumberFormat="1" applyFont="1" applyBorder="1" applyAlignment="1" applyProtection="1">
      <alignment horizontal="left" vertical="center"/>
      <protection locked="0"/>
    </xf>
    <xf numFmtId="0" fontId="20" fillId="0" borderId="155"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186" xfId="0" applyFont="1" applyFill="1" applyBorder="1" applyAlignment="1" applyProtection="1">
      <alignment horizontal="center" vertical="center" wrapText="1"/>
    </xf>
    <xf numFmtId="0" fontId="20" fillId="0" borderId="145" xfId="0" applyFont="1" applyFill="1" applyBorder="1" applyAlignment="1" applyProtection="1">
      <alignment horizontal="center" vertical="center" wrapText="1"/>
    </xf>
    <xf numFmtId="0" fontId="20" fillId="0" borderId="59" xfId="0" applyFont="1" applyFill="1" applyBorder="1" applyAlignment="1" applyProtection="1">
      <alignment horizontal="center" vertical="center" wrapText="1"/>
    </xf>
    <xf numFmtId="0" fontId="20" fillId="0" borderId="141" xfId="0" applyFont="1" applyFill="1" applyBorder="1" applyAlignment="1" applyProtection="1">
      <alignment horizontal="center" vertical="center" wrapText="1"/>
    </xf>
    <xf numFmtId="0" fontId="135" fillId="0" borderId="64" xfId="0" applyFont="1" applyFill="1" applyBorder="1" applyAlignment="1">
      <alignment horizontal="center" vertical="center" wrapText="1"/>
    </xf>
    <xf numFmtId="0" fontId="135" fillId="0" borderId="37" xfId="0" applyFont="1" applyFill="1" applyBorder="1" applyAlignment="1">
      <alignment horizontal="center" vertical="center" wrapText="1"/>
    </xf>
    <xf numFmtId="0" fontId="83" fillId="0" borderId="0" xfId="20" applyBorder="1" applyAlignment="1" applyProtection="1">
      <alignment horizontal="left" wrapText="1" indent="1"/>
    </xf>
    <xf numFmtId="0" fontId="83" fillId="0" borderId="0" xfId="20" applyFont="1" applyBorder="1" applyAlignment="1" applyProtection="1">
      <alignment horizontal="left" wrapText="1" indent="1"/>
    </xf>
    <xf numFmtId="0" fontId="84" fillId="0" borderId="0" xfId="20" applyFont="1" applyBorder="1" applyAlignment="1" applyProtection="1">
      <alignment horizontal="left" wrapText="1" indent="1"/>
    </xf>
    <xf numFmtId="0" fontId="83" fillId="0" borderId="0" xfId="20" applyFont="1" applyBorder="1" applyAlignment="1" applyProtection="1">
      <alignment horizontal="left" wrapText="1" indent="15"/>
    </xf>
    <xf numFmtId="0" fontId="83" fillId="0" borderId="0" xfId="20" applyFont="1" applyBorder="1" applyAlignment="1" applyProtection="1">
      <alignment horizontal="justify" wrapText="1"/>
    </xf>
    <xf numFmtId="0" fontId="88" fillId="0" borderId="0" xfId="20" applyFont="1" applyBorder="1" applyAlignment="1" applyProtection="1">
      <alignment horizontal="justify" wrapText="1"/>
    </xf>
    <xf numFmtId="0" fontId="84" fillId="0" borderId="0" xfId="20" applyFont="1" applyBorder="1" applyAlignment="1" applyProtection="1">
      <alignment horizontal="justify" wrapText="1"/>
    </xf>
    <xf numFmtId="49" fontId="81" fillId="2" borderId="0" xfId="23">
      <alignment horizontal="center" vertical="justify"/>
    </xf>
    <xf numFmtId="0" fontId="84" fillId="0" borderId="59" xfId="20" applyFont="1" applyBorder="1" applyAlignment="1" applyProtection="1">
      <alignment horizontal="center" vertical="center" wrapText="1"/>
    </xf>
    <xf numFmtId="0" fontId="16" fillId="0" borderId="21" xfId="0" applyFont="1" applyBorder="1" applyAlignment="1" applyProtection="1">
      <alignment horizontal="center" vertical="center" wrapText="1"/>
    </xf>
    <xf numFmtId="164" fontId="8" fillId="0" borderId="144" xfId="4" applyFont="1" applyFill="1" applyBorder="1" applyAlignment="1" applyProtection="1">
      <alignment horizontal="center" vertical="center" wrapText="1" readingOrder="1"/>
    </xf>
    <xf numFmtId="0" fontId="34" fillId="0" borderId="144" xfId="0" applyFont="1" applyBorder="1" applyAlignment="1" applyProtection="1"/>
    <xf numFmtId="0" fontId="21" fillId="0" borderId="0" xfId="0" applyFont="1" applyBorder="1" applyAlignment="1" applyProtection="1">
      <alignment horizontal="justify" wrapText="1"/>
    </xf>
    <xf numFmtId="0" fontId="34" fillId="0" borderId="0" xfId="0" applyFont="1" applyAlignment="1" applyProtection="1"/>
    <xf numFmtId="0" fontId="8" fillId="0" borderId="12" xfId="0" applyFont="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5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16" fillId="0" borderId="18" xfId="0" applyFont="1" applyBorder="1" applyAlignment="1" applyProtection="1">
      <alignment horizontal="center" vertical="center" wrapText="1"/>
    </xf>
    <xf numFmtId="0" fontId="16" fillId="0" borderId="10" xfId="0" applyFont="1" applyBorder="1" applyAlignment="1" applyProtection="1">
      <alignment horizontal="center" vertical="center" wrapText="1"/>
    </xf>
    <xf numFmtId="0" fontId="83" fillId="0" borderId="0" xfId="20" quotePrefix="1" applyBorder="1" applyAlignment="1" applyProtection="1">
      <alignment horizontal="left" wrapText="1" indent="5"/>
    </xf>
    <xf numFmtId="0" fontId="83" fillId="0" borderId="0" xfId="20" applyFont="1" applyBorder="1" applyAlignment="1" applyProtection="1">
      <alignment horizontal="left" wrapText="1" indent="5"/>
    </xf>
    <xf numFmtId="0" fontId="86" fillId="0" borderId="0" xfId="20" quotePrefix="1" applyFont="1" applyBorder="1" applyAlignment="1" applyProtection="1">
      <alignment horizontal="left" wrapText="1" indent="5"/>
    </xf>
    <xf numFmtId="0" fontId="86" fillId="0" borderId="0" xfId="20" applyFont="1" applyBorder="1" applyAlignment="1" applyProtection="1">
      <alignment horizontal="left" wrapText="1" indent="5"/>
    </xf>
    <xf numFmtId="0" fontId="88" fillId="0" borderId="0" xfId="20" applyFont="1" applyBorder="1" applyAlignment="1" applyProtection="1">
      <alignment horizontal="left" wrapText="1" indent="3"/>
    </xf>
    <xf numFmtId="0" fontId="27" fillId="0" borderId="0" xfId="20" applyFont="1" applyBorder="1" applyAlignment="1" applyProtection="1">
      <alignment horizontal="left" wrapText="1"/>
    </xf>
    <xf numFmtId="0" fontId="83" fillId="0" borderId="0" xfId="20" quotePrefix="1" applyFont="1" applyBorder="1" applyAlignment="1" applyProtection="1">
      <alignment horizontal="left" wrapText="1" indent="5"/>
    </xf>
    <xf numFmtId="0" fontId="0" fillId="0" borderId="0" xfId="0" applyAlignment="1">
      <alignment horizontal="left" wrapText="1" indent="5"/>
    </xf>
    <xf numFmtId="0" fontId="91" fillId="0" borderId="0" xfId="20" applyFont="1" applyBorder="1" applyAlignment="1" applyProtection="1">
      <alignment horizontal="justify" wrapText="1"/>
    </xf>
    <xf numFmtId="0" fontId="84" fillId="0" borderId="144" xfId="20" applyFont="1" applyBorder="1" applyAlignment="1" applyProtection="1">
      <alignment horizontal="center" wrapText="1"/>
    </xf>
    <xf numFmtId="0" fontId="24" fillId="0" borderId="0" xfId="0" applyFont="1" applyBorder="1" applyAlignment="1" applyProtection="1">
      <alignment horizontal="left"/>
    </xf>
    <xf numFmtId="164" fontId="8" fillId="0" borderId="9" xfId="4" applyFont="1" applyFill="1" applyBorder="1" applyAlignment="1" applyProtection="1">
      <alignment horizontal="center" wrapText="1"/>
    </xf>
    <xf numFmtId="0" fontId="24" fillId="0" borderId="0" xfId="0" applyFont="1" applyBorder="1" applyAlignment="1" applyProtection="1">
      <alignment horizontal="left" wrapText="1"/>
    </xf>
    <xf numFmtId="0" fontId="8" fillId="16" borderId="10" xfId="0" applyFont="1" applyFill="1" applyBorder="1" applyAlignment="1" applyProtection="1">
      <alignment horizontal="center" vertical="center" wrapText="1"/>
    </xf>
    <xf numFmtId="0" fontId="8" fillId="0" borderId="18" xfId="0" applyFont="1" applyBorder="1" applyAlignment="1" applyProtection="1">
      <alignment horizontal="center" vertical="center"/>
    </xf>
    <xf numFmtId="0" fontId="84" fillId="0" borderId="144" xfId="20" applyFont="1" applyBorder="1" applyAlignment="1" applyProtection="1">
      <alignment horizontal="center" vertical="center" wrapText="1"/>
    </xf>
    <xf numFmtId="0" fontId="91" fillId="0" borderId="0" xfId="20" applyFont="1" applyBorder="1" applyAlignment="1" applyProtection="1">
      <alignment horizontal="left" wrapText="1"/>
    </xf>
    <xf numFmtId="0" fontId="86" fillId="0" borderId="0" xfId="20" applyFont="1" applyBorder="1" applyAlignment="1" applyProtection="1">
      <alignment horizontal="justify" vertical="top" wrapText="1"/>
    </xf>
    <xf numFmtId="0" fontId="91" fillId="0" borderId="0" xfId="20" applyFont="1" applyBorder="1" applyAlignment="1" applyProtection="1">
      <alignment horizontal="left" vertical="top" wrapText="1" indent="1"/>
    </xf>
    <xf numFmtId="0" fontId="16" fillId="0" borderId="9" xfId="0" applyFont="1" applyBorder="1" applyAlignment="1" applyProtection="1">
      <alignment horizontal="center" vertical="center" wrapText="1"/>
    </xf>
    <xf numFmtId="0" fontId="31" fillId="0" borderId="0" xfId="0" applyFont="1" applyBorder="1" applyAlignment="1" applyProtection="1">
      <alignment horizontal="left" vertical="center" wrapText="1"/>
    </xf>
    <xf numFmtId="0" fontId="30" fillId="0" borderId="0" xfId="0" applyFont="1" applyBorder="1" applyAlignment="1" applyProtection="1">
      <alignment horizontal="left" wrapText="1"/>
    </xf>
    <xf numFmtId="0" fontId="16" fillId="16" borderId="14" xfId="0" applyFont="1" applyFill="1" applyBorder="1" applyAlignment="1" applyProtection="1">
      <alignment horizontal="center" vertical="center" wrapText="1"/>
    </xf>
    <xf numFmtId="0" fontId="16" fillId="0" borderId="10" xfId="0" applyFont="1" applyBorder="1" applyAlignment="1" applyProtection="1">
      <alignment horizontal="center" vertical="center"/>
    </xf>
    <xf numFmtId="9" fontId="16" fillId="0" borderId="10" xfId="0" applyNumberFormat="1" applyFont="1" applyBorder="1" applyAlignment="1" applyProtection="1">
      <alignment horizontal="center" vertical="center" wrapText="1"/>
    </xf>
    <xf numFmtId="9" fontId="16" fillId="0" borderId="56" xfId="0" applyNumberFormat="1" applyFont="1" applyBorder="1" applyAlignment="1" applyProtection="1">
      <alignment horizontal="center" vertical="center" wrapText="1"/>
    </xf>
    <xf numFmtId="0" fontId="84" fillId="0" borderId="0" xfId="20" applyFont="1" applyBorder="1" applyAlignment="1" applyProtection="1">
      <alignment horizontal="left" wrapText="1"/>
    </xf>
    <xf numFmtId="0" fontId="16" fillId="0" borderId="12" xfId="0" applyFont="1" applyBorder="1" applyAlignment="1" applyProtection="1">
      <alignment horizontal="center" vertical="center"/>
    </xf>
    <xf numFmtId="0" fontId="16" fillId="0" borderId="9" xfId="0" applyFont="1" applyBorder="1" applyAlignment="1" applyProtection="1">
      <alignment horizontal="center"/>
    </xf>
    <xf numFmtId="0" fontId="30" fillId="0" borderId="0" xfId="0" applyFont="1" applyBorder="1" applyAlignment="1" applyProtection="1">
      <alignment horizontal="justify" vertical="center" wrapText="1"/>
    </xf>
    <xf numFmtId="0" fontId="34" fillId="0" borderId="0" xfId="11" applyFont="1" applyBorder="1" applyAlignment="1" applyProtection="1">
      <alignment horizontal="justify" vertical="center" wrapText="1"/>
    </xf>
    <xf numFmtId="0" fontId="0" fillId="0" borderId="0" xfId="0" applyFont="1" applyAlignment="1" applyProtection="1"/>
    <xf numFmtId="0" fontId="24" fillId="0" borderId="0" xfId="11" quotePrefix="1" applyFont="1" applyBorder="1" applyAlignment="1" applyProtection="1">
      <alignment horizontal="left" vertical="center" wrapText="1" indent="1"/>
    </xf>
    <xf numFmtId="0" fontId="24" fillId="0" borderId="0" xfId="0" applyFont="1" applyAlignment="1" applyProtection="1">
      <alignment horizontal="left" indent="1"/>
    </xf>
    <xf numFmtId="0" fontId="8" fillId="0" borderId="144" xfId="11" applyFont="1" applyBorder="1" applyAlignment="1" applyProtection="1">
      <alignment horizontal="center" wrapText="1"/>
    </xf>
    <xf numFmtId="0" fontId="21" fillId="0" borderId="0" xfId="11" applyFont="1" applyBorder="1" applyAlignment="1" applyProtection="1">
      <alignment horizontal="justify" vertical="center" wrapText="1"/>
    </xf>
    <xf numFmtId="0" fontId="34" fillId="0" borderId="0" xfId="11" applyNumberFormat="1" applyFont="1" applyBorder="1" applyAlignment="1" applyProtection="1">
      <alignment horizontal="justify" vertical="center" wrapText="1"/>
    </xf>
    <xf numFmtId="0" fontId="8" fillId="0" borderId="0" xfId="0" applyFont="1" applyBorder="1" applyAlignment="1" applyProtection="1">
      <alignment horizontal="justify" wrapText="1"/>
    </xf>
    <xf numFmtId="0" fontId="63" fillId="0" borderId="0" xfId="0" applyFont="1" applyBorder="1" applyAlignment="1" applyProtection="1">
      <alignment horizontal="justify" wrapText="1"/>
    </xf>
    <xf numFmtId="0" fontId="8" fillId="0" borderId="24" xfId="11" applyFont="1" applyBorder="1" applyAlignment="1" applyProtection="1">
      <alignment horizontal="center" vertical="center" wrapText="1"/>
    </xf>
    <xf numFmtId="0" fontId="8" fillId="0" borderId="64" xfId="11" applyFont="1" applyBorder="1" applyAlignment="1" applyProtection="1">
      <alignment horizontal="center" vertical="center" wrapText="1"/>
    </xf>
    <xf numFmtId="0" fontId="8" fillId="0" borderId="65" xfId="11" applyFont="1" applyBorder="1" applyAlignment="1" applyProtection="1">
      <alignment horizontal="center" vertical="center" wrapText="1"/>
    </xf>
    <xf numFmtId="0" fontId="8" fillId="0" borderId="37" xfId="11" applyFont="1" applyBorder="1" applyAlignment="1" applyProtection="1">
      <alignment horizontal="center" vertical="center" wrapText="1"/>
    </xf>
    <xf numFmtId="0" fontId="34" fillId="0" borderId="0" xfId="11" quotePrefix="1" applyNumberFormat="1" applyFont="1" applyBorder="1" applyAlignment="1" applyProtection="1">
      <alignment horizontal="justify" vertical="center" wrapText="1"/>
    </xf>
    <xf numFmtId="0" fontId="0" fillId="0" borderId="0" xfId="0" applyAlignment="1" applyProtection="1"/>
    <xf numFmtId="0" fontId="21" fillId="0" borderId="0" xfId="0" applyFont="1" applyAlignment="1" applyProtection="1"/>
    <xf numFmtId="0" fontId="34" fillId="0" borderId="0" xfId="11" applyFont="1" applyBorder="1" applyAlignment="1" applyProtection="1">
      <alignment horizontal="center"/>
    </xf>
    <xf numFmtId="0" fontId="24" fillId="0" borderId="0" xfId="0" applyFont="1" applyAlignment="1" applyProtection="1">
      <alignment horizontal="left" wrapText="1" indent="1"/>
    </xf>
    <xf numFmtId="0" fontId="83" fillId="0" borderId="0" xfId="20" applyFont="1" applyBorder="1" applyAlignment="1" applyProtection="1">
      <alignment horizontal="left" indent="1"/>
    </xf>
    <xf numFmtId="0" fontId="84" fillId="0" borderId="132" xfId="20" applyFont="1" applyBorder="1" applyAlignment="1" applyProtection="1">
      <alignment horizontal="center" wrapText="1"/>
    </xf>
    <xf numFmtId="0" fontId="84" fillId="0" borderId="59" xfId="20" applyFont="1" applyBorder="1" applyAlignment="1" applyProtection="1">
      <alignment horizontal="center" wrapText="1"/>
    </xf>
    <xf numFmtId="0" fontId="83" fillId="0" borderId="0" xfId="20" applyFont="1" applyBorder="1" applyAlignment="1" applyProtection="1">
      <alignment horizontal="justify"/>
    </xf>
    <xf numFmtId="0" fontId="84" fillId="0" borderId="0" xfId="20" applyFont="1" applyBorder="1" applyAlignment="1" applyProtection="1">
      <alignment horizontal="justify"/>
    </xf>
    <xf numFmtId="0" fontId="84" fillId="0" borderId="0" xfId="20" applyFont="1" applyBorder="1" applyAlignment="1" applyProtection="1">
      <alignment horizontal="left" indent="1"/>
    </xf>
    <xf numFmtId="0" fontId="83" fillId="0" borderId="0" xfId="20" quotePrefix="1" applyFont="1" applyBorder="1" applyAlignment="1" applyProtection="1">
      <alignment horizontal="left" vertical="top" wrapText="1" indent="5"/>
    </xf>
    <xf numFmtId="0" fontId="83" fillId="0" borderId="0" xfId="20" applyFont="1" applyBorder="1" applyAlignment="1" applyProtection="1">
      <alignment horizontal="left" vertical="top" wrapText="1" indent="5"/>
    </xf>
    <xf numFmtId="0" fontId="91" fillId="0" borderId="0" xfId="20" applyFont="1" applyBorder="1" applyAlignment="1" applyProtection="1">
      <alignment horizontal="left"/>
    </xf>
    <xf numFmtId="0" fontId="83" fillId="0" borderId="0" xfId="20" quotePrefix="1" applyFont="1" applyBorder="1" applyAlignment="1" applyProtection="1">
      <alignment horizontal="left" vertical="center" wrapText="1" indent="5"/>
    </xf>
    <xf numFmtId="0" fontId="83" fillId="0" borderId="0" xfId="20" applyFont="1" applyBorder="1" applyAlignment="1" applyProtection="1">
      <alignment horizontal="left" vertical="center" wrapText="1" indent="5"/>
    </xf>
    <xf numFmtId="0" fontId="86" fillId="0" borderId="0" xfId="20" quotePrefix="1" applyFont="1" applyBorder="1" applyAlignment="1" applyProtection="1">
      <alignment horizontal="left" vertical="top" wrapText="1" indent="5"/>
    </xf>
    <xf numFmtId="0" fontId="86" fillId="0" borderId="0" xfId="20" applyFont="1" applyBorder="1" applyAlignment="1" applyProtection="1">
      <alignment horizontal="left" vertical="top" wrapText="1" indent="5"/>
    </xf>
    <xf numFmtId="0" fontId="86" fillId="0" borderId="0" xfId="20" quotePrefix="1" applyFont="1" applyBorder="1" applyAlignment="1" applyProtection="1">
      <alignment horizontal="left" vertical="center" wrapText="1" indent="5"/>
    </xf>
    <xf numFmtId="0" fontId="86" fillId="0" borderId="0" xfId="20" applyFont="1" applyBorder="1" applyAlignment="1" applyProtection="1">
      <alignment horizontal="left" vertical="center" wrapText="1" indent="5"/>
    </xf>
    <xf numFmtId="0" fontId="34" fillId="0" borderId="0" xfId="20" quotePrefix="1" applyFont="1" applyBorder="1" applyAlignment="1" applyProtection="1">
      <alignment horizontal="left" vertical="top" wrapText="1" indent="5"/>
    </xf>
    <xf numFmtId="0" fontId="34" fillId="0" borderId="0" xfId="20" applyFont="1" applyBorder="1" applyAlignment="1" applyProtection="1">
      <alignment horizontal="left" vertical="top" wrapText="1" indent="5"/>
    </xf>
    <xf numFmtId="0" fontId="86" fillId="0" borderId="0" xfId="20" applyFont="1" applyBorder="1" applyAlignment="1" applyProtection="1">
      <alignment horizontal="left" wrapText="1" indent="3"/>
    </xf>
    <xf numFmtId="0" fontId="84" fillId="0" borderId="0" xfId="20" quotePrefix="1" applyFont="1" applyBorder="1" applyAlignment="1" applyProtection="1">
      <alignment horizontal="left" wrapText="1" indent="5"/>
    </xf>
    <xf numFmtId="0" fontId="84" fillId="0" borderId="0" xfId="20" applyFont="1" applyBorder="1" applyAlignment="1" applyProtection="1">
      <alignment horizontal="left" wrapText="1" indent="5"/>
    </xf>
    <xf numFmtId="0" fontId="30" fillId="0" borderId="0" xfId="6" applyFont="1" applyBorder="1" applyAlignment="1" applyProtection="1">
      <alignment horizontal="left" wrapText="1"/>
    </xf>
    <xf numFmtId="0" fontId="16" fillId="0" borderId="64" xfId="6" applyFont="1" applyBorder="1" applyAlignment="1" applyProtection="1">
      <alignment horizontal="center" wrapText="1"/>
    </xf>
    <xf numFmtId="0" fontId="16" fillId="0" borderId="65" xfId="6" applyFont="1" applyBorder="1" applyAlignment="1" applyProtection="1">
      <alignment horizontal="center" wrapText="1"/>
    </xf>
    <xf numFmtId="0" fontId="16" fillId="0" borderId="37" xfId="6" applyFont="1" applyBorder="1" applyAlignment="1" applyProtection="1">
      <alignment horizontal="center" wrapText="1"/>
    </xf>
    <xf numFmtId="0" fontId="16" fillId="0" borderId="112" xfId="6" applyFont="1" applyBorder="1" applyAlignment="1" applyProtection="1">
      <alignment horizontal="center" vertical="center" wrapText="1"/>
    </xf>
    <xf numFmtId="0" fontId="16" fillId="0" borderId="113" xfId="6" applyFont="1" applyBorder="1" applyAlignment="1" applyProtection="1">
      <alignment horizontal="center" vertical="center" wrapText="1"/>
    </xf>
    <xf numFmtId="0" fontId="16" fillId="0" borderId="122" xfId="6" applyFont="1" applyBorder="1" applyAlignment="1" applyProtection="1">
      <alignment horizontal="center" vertical="center" wrapText="1"/>
    </xf>
    <xf numFmtId="0" fontId="16" fillId="0" borderId="147" xfId="6" applyFont="1" applyBorder="1" applyAlignment="1" applyProtection="1">
      <alignment horizontal="center" vertical="center" wrapText="1"/>
    </xf>
    <xf numFmtId="0" fontId="16" fillId="16" borderId="27" xfId="6" applyFont="1" applyFill="1" applyBorder="1" applyAlignment="1" applyProtection="1">
      <alignment horizontal="center" vertical="center" wrapText="1"/>
    </xf>
    <xf numFmtId="0" fontId="16" fillId="16" borderId="90" xfId="6" applyFont="1" applyFill="1" applyBorder="1" applyAlignment="1" applyProtection="1">
      <alignment horizontal="center" vertical="center" wrapText="1"/>
    </xf>
    <xf numFmtId="0" fontId="16" fillId="16" borderId="38" xfId="6" applyFont="1" applyFill="1" applyBorder="1" applyAlignment="1" applyProtection="1">
      <alignment horizontal="center" vertical="center" wrapText="1"/>
    </xf>
    <xf numFmtId="0" fontId="16" fillId="0" borderId="144" xfId="6" applyFont="1" applyBorder="1" applyAlignment="1" applyProtection="1">
      <alignment horizontal="center" wrapText="1"/>
    </xf>
    <xf numFmtId="0" fontId="16" fillId="0" borderId="112" xfId="6" applyFont="1" applyFill="1" applyBorder="1" applyAlignment="1" applyProtection="1">
      <alignment horizontal="center" vertical="center" wrapText="1"/>
    </xf>
    <xf numFmtId="0" fontId="16" fillId="0" borderId="113" xfId="6" applyFont="1" applyFill="1" applyBorder="1" applyAlignment="1" applyProtection="1">
      <alignment horizontal="center" vertical="center" wrapText="1"/>
    </xf>
    <xf numFmtId="0" fontId="16" fillId="0" borderId="122" xfId="6" applyFont="1" applyFill="1" applyBorder="1" applyAlignment="1" applyProtection="1">
      <alignment horizontal="center" vertical="center" wrapText="1"/>
    </xf>
    <xf numFmtId="0" fontId="16" fillId="0" borderId="147" xfId="6" applyFont="1" applyFill="1" applyBorder="1" applyAlignment="1" applyProtection="1">
      <alignment horizontal="center" vertical="center" wrapText="1"/>
    </xf>
    <xf numFmtId="0" fontId="16" fillId="0" borderId="121" xfId="6" applyFont="1" applyBorder="1" applyAlignment="1" applyProtection="1">
      <alignment horizontal="center" vertical="center" wrapText="1"/>
    </xf>
    <xf numFmtId="0" fontId="16" fillId="0" borderId="25" xfId="6" applyFont="1" applyBorder="1" applyAlignment="1" applyProtection="1">
      <alignment horizontal="center" vertical="center" wrapText="1"/>
    </xf>
    <xf numFmtId="0" fontId="16" fillId="0" borderId="112" xfId="6" applyFont="1" applyFill="1" applyBorder="1" applyAlignment="1" applyProtection="1">
      <alignment horizontal="center" vertical="center"/>
    </xf>
    <xf numFmtId="0" fontId="16" fillId="0" borderId="113" xfId="6" applyFont="1" applyFill="1" applyBorder="1" applyAlignment="1" applyProtection="1">
      <alignment horizontal="center" vertical="center"/>
    </xf>
    <xf numFmtId="0" fontId="16" fillId="0" borderId="122" xfId="6" applyFont="1" applyFill="1" applyBorder="1" applyAlignment="1" applyProtection="1">
      <alignment horizontal="center" vertical="center"/>
    </xf>
    <xf numFmtId="0" fontId="16" fillId="0" borderId="147" xfId="6" applyFont="1" applyFill="1" applyBorder="1" applyAlignment="1" applyProtection="1">
      <alignment horizontal="center" vertical="center"/>
    </xf>
    <xf numFmtId="0" fontId="16" fillId="0" borderId="27" xfId="6" applyFont="1" applyBorder="1" applyAlignment="1" applyProtection="1">
      <alignment horizontal="center" vertical="center" wrapText="1"/>
    </xf>
    <xf numFmtId="0" fontId="16" fillId="0" borderId="90" xfId="6" applyFont="1" applyBorder="1" applyAlignment="1" applyProtection="1">
      <alignment horizontal="center" vertical="center" wrapText="1"/>
    </xf>
    <xf numFmtId="0" fontId="16" fillId="0" borderId="38" xfId="6" applyFont="1" applyBorder="1" applyAlignment="1" applyProtection="1">
      <alignment horizontal="center" vertical="center" wrapText="1"/>
    </xf>
    <xf numFmtId="0" fontId="31" fillId="0" borderId="0" xfId="6" applyFont="1" applyFill="1" applyBorder="1" applyAlignment="1" applyProtection="1">
      <alignment horizontal="center" wrapText="1"/>
    </xf>
    <xf numFmtId="0" fontId="16" fillId="0" borderId="64" xfId="6" applyFont="1" applyBorder="1" applyAlignment="1" applyProtection="1">
      <alignment horizontal="center" vertical="center"/>
    </xf>
    <xf numFmtId="0" fontId="16" fillId="0" borderId="65" xfId="6" applyFont="1" applyBorder="1" applyAlignment="1" applyProtection="1">
      <alignment horizontal="center" vertical="center"/>
    </xf>
    <xf numFmtId="0" fontId="16" fillId="0" borderId="37" xfId="6" applyFont="1" applyBorder="1" applyAlignment="1" applyProtection="1">
      <alignment horizontal="center" vertical="center"/>
    </xf>
    <xf numFmtId="0" fontId="16" fillId="0" borderId="27" xfId="6" applyFont="1" applyFill="1" applyBorder="1" applyAlignment="1" applyProtection="1">
      <alignment horizontal="center" vertical="center" wrapText="1"/>
    </xf>
    <xf numFmtId="0" fontId="16" fillId="0" borderId="90" xfId="6" applyFont="1" applyFill="1" applyBorder="1" applyAlignment="1" applyProtection="1">
      <alignment horizontal="center" vertical="center" wrapText="1"/>
    </xf>
    <xf numFmtId="0" fontId="16" fillId="0" borderId="38" xfId="6" applyFont="1" applyFill="1" applyBorder="1" applyAlignment="1" applyProtection="1">
      <alignment horizontal="center" vertical="center" wrapText="1"/>
    </xf>
    <xf numFmtId="0" fontId="16" fillId="0" borderId="64" xfId="6" applyFont="1" applyBorder="1" applyAlignment="1" applyProtection="1">
      <alignment horizontal="center"/>
    </xf>
    <xf numFmtId="0" fontId="16" fillId="0" borderId="65" xfId="6" applyFont="1" applyBorder="1" applyAlignment="1" applyProtection="1">
      <alignment horizontal="center"/>
    </xf>
    <xf numFmtId="0" fontId="16" fillId="0" borderId="37" xfId="6" applyFont="1" applyBorder="1" applyAlignment="1" applyProtection="1">
      <alignment horizontal="center"/>
    </xf>
    <xf numFmtId="0" fontId="84" fillId="0" borderId="132" xfId="20" applyFont="1" applyBorder="1" applyAlignment="1" applyProtection="1">
      <alignment horizontal="center" vertical="center" wrapText="1"/>
    </xf>
    <xf numFmtId="0" fontId="84" fillId="0" borderId="59" xfId="20" applyFont="1" applyBorder="1" applyAlignment="1" applyProtection="1">
      <alignment horizontal="center"/>
    </xf>
    <xf numFmtId="0" fontId="91" fillId="0" borderId="0" xfId="20" applyFont="1" applyBorder="1" applyAlignment="1" applyProtection="1">
      <alignment horizontal="left" wrapText="1" indent="3"/>
    </xf>
    <xf numFmtId="0" fontId="88" fillId="0" borderId="0" xfId="20" applyFont="1" applyBorder="1" applyAlignment="1" applyProtection="1">
      <alignment horizontal="left" wrapText="1"/>
    </xf>
    <xf numFmtId="0" fontId="87" fillId="0" borderId="0" xfId="20" applyFont="1" applyBorder="1" applyAlignment="1" applyProtection="1">
      <alignment horizontal="left" vertical="top" wrapText="1" indent="1"/>
    </xf>
    <xf numFmtId="0" fontId="86" fillId="0" borderId="0" xfId="20" applyFont="1" applyBorder="1" applyAlignment="1" applyProtection="1">
      <alignment horizontal="left" vertical="top" wrapText="1" indent="1"/>
    </xf>
    <xf numFmtId="0" fontId="16" fillId="16" borderId="10" xfId="0" applyFont="1" applyFill="1" applyBorder="1" applyAlignment="1" applyProtection="1">
      <alignment horizontal="center" vertical="center" wrapText="1"/>
    </xf>
    <xf numFmtId="0" fontId="16" fillId="0" borderId="2" xfId="0" applyFont="1" applyBorder="1" applyAlignment="1" applyProtection="1">
      <alignment horizontal="center" vertical="center"/>
    </xf>
    <xf numFmtId="0" fontId="16" fillId="0" borderId="5" xfId="0" applyFont="1" applyBorder="1" applyAlignment="1" applyProtection="1">
      <alignment horizontal="center"/>
    </xf>
    <xf numFmtId="0" fontId="31" fillId="0" borderId="0" xfId="0" applyFont="1" applyBorder="1" applyAlignment="1" applyProtection="1">
      <alignment horizontal="justify" wrapText="1"/>
    </xf>
    <xf numFmtId="0" fontId="83" fillId="0" borderId="0" xfId="20" quotePrefix="1" applyFont="1" applyBorder="1" applyAlignment="1" applyProtection="1">
      <alignment horizontal="left" indent="5"/>
    </xf>
    <xf numFmtId="0" fontId="83" fillId="0" borderId="0" xfId="20" applyFont="1" applyBorder="1" applyAlignment="1" applyProtection="1">
      <alignment horizontal="left" indent="5"/>
    </xf>
    <xf numFmtId="0" fontId="86" fillId="0" borderId="0" xfId="20" quotePrefix="1" applyFont="1" applyBorder="1" applyAlignment="1" applyProtection="1">
      <alignment horizontal="left" vertical="top" wrapText="1" indent="3"/>
    </xf>
    <xf numFmtId="0" fontId="86" fillId="0" borderId="0" xfId="20" applyFont="1" applyBorder="1" applyAlignment="1" applyProtection="1">
      <alignment horizontal="left" vertical="top" wrapText="1" indent="3"/>
    </xf>
    <xf numFmtId="0" fontId="8" fillId="0" borderId="12" xfId="0" applyFont="1" applyBorder="1" applyAlignment="1" applyProtection="1">
      <alignment horizontal="center" vertical="center"/>
    </xf>
    <xf numFmtId="0" fontId="8" fillId="0" borderId="144" xfId="0" applyFont="1" applyBorder="1" applyAlignment="1" applyProtection="1">
      <alignment horizontal="center" wrapText="1"/>
    </xf>
    <xf numFmtId="0" fontId="24" fillId="0" borderId="0" xfId="11" quotePrefix="1" applyFont="1" applyBorder="1" applyAlignment="1" applyProtection="1">
      <alignment horizontal="left" vertical="center" wrapText="1"/>
    </xf>
    <xf numFmtId="0" fontId="0" fillId="0" borderId="0" xfId="0" applyAlignment="1" applyProtection="1">
      <alignment horizontal="left" wrapText="1"/>
    </xf>
    <xf numFmtId="0" fontId="0" fillId="0" borderId="0" xfId="0" applyAlignment="1" applyProtection="1">
      <alignment wrapText="1"/>
    </xf>
    <xf numFmtId="0" fontId="34" fillId="0" borderId="0" xfId="0" applyFont="1" applyAlignment="1" applyProtection="1">
      <alignment wrapText="1"/>
    </xf>
    <xf numFmtId="0" fontId="8" fillId="0" borderId="144" xfId="11" applyFont="1" applyBorder="1" applyAlignment="1" applyProtection="1">
      <alignment horizontal="center"/>
    </xf>
    <xf numFmtId="0" fontId="34" fillId="0" borderId="0" xfId="0" applyFont="1" applyAlignment="1" applyProtection="1">
      <alignment horizontal="justify" vertical="center"/>
    </xf>
    <xf numFmtId="0" fontId="83" fillId="0" borderId="0" xfId="20" quotePrefix="1" applyBorder="1" applyAlignment="1" applyProtection="1">
      <alignment horizontal="left" wrapText="1" indent="3"/>
    </xf>
    <xf numFmtId="0" fontId="83" fillId="0" borderId="0" xfId="20" applyFont="1" applyBorder="1" applyAlignment="1" applyProtection="1">
      <alignment horizontal="left" wrapText="1" indent="3"/>
    </xf>
    <xf numFmtId="0" fontId="83" fillId="0" borderId="0" xfId="20" quotePrefix="1" applyFont="1" applyBorder="1" applyAlignment="1" applyProtection="1">
      <alignment horizontal="left" wrapText="1" indent="3"/>
    </xf>
    <xf numFmtId="0" fontId="84" fillId="0" borderId="144" xfId="20" applyFont="1" applyBorder="1" applyAlignment="1" applyProtection="1">
      <alignment horizontal="center"/>
    </xf>
    <xf numFmtId="0" fontId="83" fillId="0" borderId="0" xfId="20" applyFont="1" applyBorder="1" applyAlignment="1" applyProtection="1">
      <alignment horizontal="left" wrapText="1"/>
    </xf>
    <xf numFmtId="0" fontId="90" fillId="0" borderId="0" xfId="20" applyFont="1" applyBorder="1" applyAlignment="1" applyProtection="1">
      <alignment horizontal="left" wrapText="1" indent="3"/>
    </xf>
    <xf numFmtId="0" fontId="84" fillId="0" borderId="0" xfId="20" applyFont="1" applyBorder="1" applyAlignment="1" applyProtection="1">
      <alignment horizontal="left" vertical="top" wrapText="1"/>
    </xf>
    <xf numFmtId="0" fontId="84" fillId="0" borderId="0" xfId="20" quotePrefix="1" applyFont="1" applyBorder="1" applyAlignment="1" applyProtection="1">
      <alignment horizontal="left" vertical="center" wrapText="1" indent="5"/>
    </xf>
    <xf numFmtId="0" fontId="84" fillId="0" borderId="0" xfId="20" applyFont="1" applyBorder="1" applyAlignment="1" applyProtection="1">
      <alignment horizontal="left" vertical="center" wrapText="1" indent="5"/>
    </xf>
    <xf numFmtId="0" fontId="83" fillId="0" borderId="0" xfId="20" quotePrefix="1" applyBorder="1" applyAlignment="1" applyProtection="1">
      <alignment horizontal="left" vertical="center" wrapText="1" indent="5"/>
    </xf>
    <xf numFmtId="0" fontId="83" fillId="0" borderId="0" xfId="20" applyAlignment="1">
      <alignment horizontal="left" vertical="center" wrapText="1" indent="5"/>
    </xf>
    <xf numFmtId="0" fontId="83" fillId="0" borderId="0" xfId="20" applyFont="1" applyBorder="1" applyAlignment="1" applyProtection="1">
      <alignment horizontal="left" vertical="top" wrapText="1" indent="1"/>
    </xf>
    <xf numFmtId="0" fontId="88" fillId="0" borderId="0" xfId="20" applyFont="1" applyBorder="1" applyAlignment="1" applyProtection="1">
      <alignment horizontal="left" wrapText="1" indent="1"/>
    </xf>
    <xf numFmtId="0" fontId="16" fillId="0" borderId="12" xfId="11" applyFont="1" applyFill="1" applyBorder="1" applyAlignment="1" applyProtection="1">
      <alignment horizontal="left" indent="2"/>
    </xf>
    <xf numFmtId="0" fontId="16" fillId="0" borderId="56" xfId="11" applyFont="1" applyFill="1" applyBorder="1" applyAlignment="1" applyProtection="1">
      <alignment horizontal="left" indent="2"/>
    </xf>
    <xf numFmtId="0" fontId="16" fillId="0" borderId="12" xfId="11" applyFont="1" applyFill="1" applyBorder="1" applyAlignment="1" applyProtection="1">
      <alignment horizontal="left" wrapText="1" indent="2"/>
    </xf>
    <xf numFmtId="0" fontId="16" fillId="0" borderId="56" xfId="11" applyFont="1" applyFill="1" applyBorder="1" applyAlignment="1" applyProtection="1">
      <alignment horizontal="left" wrapText="1" indent="2"/>
    </xf>
    <xf numFmtId="0" fontId="16" fillId="26" borderId="12" xfId="11" applyFont="1" applyFill="1" applyBorder="1" applyAlignment="1" applyProtection="1">
      <alignment horizontal="right" indent="1"/>
    </xf>
    <xf numFmtId="0" fontId="16" fillId="26" borderId="56" xfId="11" applyFont="1" applyFill="1" applyBorder="1" applyAlignment="1" applyProtection="1">
      <alignment horizontal="right" indent="1"/>
    </xf>
    <xf numFmtId="0" fontId="8" fillId="0" borderId="20" xfId="11" applyFont="1" applyBorder="1" applyAlignment="1" applyProtection="1">
      <alignment horizontal="center" vertical="center" wrapText="1"/>
    </xf>
    <xf numFmtId="0" fontId="16" fillId="0" borderId="13" xfId="11" applyFont="1" applyFill="1" applyBorder="1" applyAlignment="1" applyProtection="1">
      <alignment horizontal="left" indent="2"/>
    </xf>
    <xf numFmtId="0" fontId="66" fillId="0" borderId="0" xfId="11" applyFont="1" applyBorder="1" applyAlignment="1" applyProtection="1">
      <alignment horizontal="left" wrapText="1"/>
    </xf>
    <xf numFmtId="0" fontId="8" fillId="0" borderId="9" xfId="11" applyFont="1" applyBorder="1" applyAlignment="1" applyProtection="1">
      <alignment horizontal="center"/>
    </xf>
    <xf numFmtId="0" fontId="64" fillId="0" borderId="0" xfId="11" applyFont="1" applyBorder="1" applyAlignment="1" applyProtection="1">
      <alignment horizontal="left" vertical="center" wrapText="1"/>
    </xf>
    <xf numFmtId="0" fontId="16" fillId="0" borderId="12" xfId="11" applyFont="1" applyFill="1" applyBorder="1" applyAlignment="1" applyProtection="1">
      <alignment horizontal="left" vertical="center" wrapText="1" indent="2"/>
    </xf>
    <xf numFmtId="0" fontId="16" fillId="0" borderId="56" xfId="11" applyFont="1" applyFill="1" applyBorder="1" applyAlignment="1" applyProtection="1">
      <alignment horizontal="left" vertical="center" wrapText="1" indent="2"/>
    </xf>
    <xf numFmtId="0" fontId="16" fillId="16" borderId="12" xfId="11" applyFont="1" applyFill="1" applyBorder="1" applyAlignment="1" applyProtection="1">
      <alignment horizontal="right" indent="1"/>
    </xf>
    <xf numFmtId="0" fontId="16" fillId="16" borderId="56" xfId="11" applyFont="1" applyFill="1" applyBorder="1" applyAlignment="1" applyProtection="1">
      <alignment horizontal="right" indent="1"/>
    </xf>
    <xf numFmtId="0" fontId="24" fillId="0" borderId="0" xfId="11" quotePrefix="1" applyFont="1" applyBorder="1" applyAlignment="1" applyProtection="1">
      <alignment horizontal="left" wrapText="1" indent="2"/>
    </xf>
    <xf numFmtId="0" fontId="24" fillId="0" borderId="0" xfId="11" applyFont="1" applyBorder="1" applyAlignment="1" applyProtection="1">
      <alignment horizontal="left" wrapText="1" indent="2"/>
    </xf>
    <xf numFmtId="0" fontId="24" fillId="0" borderId="0" xfId="11" quotePrefix="1" applyFont="1" applyBorder="1" applyAlignment="1" applyProtection="1">
      <alignment horizontal="left" vertical="top" wrapText="1" indent="2"/>
    </xf>
    <xf numFmtId="0" fontId="24" fillId="0" borderId="0" xfId="11" applyFont="1" applyBorder="1" applyAlignment="1" applyProtection="1">
      <alignment horizontal="left" vertical="top" wrapText="1" indent="2"/>
    </xf>
    <xf numFmtId="0" fontId="34" fillId="0" borderId="0" xfId="11" applyFont="1" applyBorder="1" applyAlignment="1" applyProtection="1">
      <alignment horizontal="left" wrapText="1"/>
    </xf>
    <xf numFmtId="0" fontId="34" fillId="0" borderId="0" xfId="0" applyFont="1" applyAlignment="1" applyProtection="1">
      <alignment horizontal="left" wrapText="1" indent="2"/>
    </xf>
    <xf numFmtId="0" fontId="0" fillId="0" borderId="0" xfId="0" applyAlignment="1">
      <alignment horizontal="left" wrapText="1" indent="2"/>
    </xf>
    <xf numFmtId="0" fontId="8" fillId="0" borderId="26" xfId="0" applyFont="1" applyBorder="1" applyAlignment="1" applyProtection="1">
      <alignment horizontal="center" vertical="center" wrapText="1"/>
    </xf>
    <xf numFmtId="0" fontId="0" fillId="0" borderId="148" xfId="0" applyBorder="1" applyAlignment="1" applyProtection="1">
      <alignment horizontal="center" vertical="center" wrapText="1"/>
    </xf>
    <xf numFmtId="0" fontId="34" fillId="0" borderId="0" xfId="0" applyFont="1" applyAlignment="1" applyProtection="1">
      <alignment horizontal="left" vertical="top" wrapText="1" indent="2"/>
    </xf>
    <xf numFmtId="0" fontId="8" fillId="0" borderId="144" xfId="0" applyFont="1" applyBorder="1" applyAlignment="1" applyProtection="1">
      <alignment horizontal="center" vertical="center" wrapText="1"/>
    </xf>
    <xf numFmtId="0" fontId="0" fillId="0" borderId="144" xfId="0" applyBorder="1" applyAlignment="1">
      <alignment vertical="center"/>
    </xf>
    <xf numFmtId="0" fontId="24" fillId="0" borderId="0" xfId="0" applyFont="1" applyBorder="1" applyAlignment="1" applyProtection="1">
      <alignment horizontal="justify" wrapText="1"/>
    </xf>
    <xf numFmtId="0" fontId="0" fillId="0" borderId="0" xfId="0" applyAlignment="1">
      <alignment horizontal="justify"/>
    </xf>
    <xf numFmtId="0" fontId="24" fillId="0" borderId="0" xfId="20" quotePrefix="1" applyFont="1" applyBorder="1" applyAlignment="1" applyProtection="1">
      <alignment horizontal="left" wrapText="1" indent="5"/>
    </xf>
    <xf numFmtId="0" fontId="24" fillId="0" borderId="0" xfId="20" applyFont="1" applyBorder="1" applyAlignment="1" applyProtection="1">
      <alignment horizontal="left" wrapText="1" indent="5"/>
    </xf>
    <xf numFmtId="0" fontId="94" fillId="0" borderId="0" xfId="20" applyFont="1" applyBorder="1" applyAlignment="1" applyProtection="1">
      <alignment horizontal="left" wrapText="1"/>
    </xf>
    <xf numFmtId="0" fontId="86" fillId="0" borderId="0" xfId="20" quotePrefix="1" applyFont="1" applyBorder="1" applyAlignment="1" applyProtection="1">
      <alignment horizontal="left" wrapText="1" indent="8"/>
    </xf>
    <xf numFmtId="0" fontId="86" fillId="0" borderId="0" xfId="20" applyFont="1" applyBorder="1" applyAlignment="1" applyProtection="1">
      <alignment horizontal="left" wrapText="1" indent="8"/>
    </xf>
    <xf numFmtId="0" fontId="91" fillId="0" borderId="0" xfId="20" applyFont="1" applyBorder="1" applyAlignment="1" applyProtection="1">
      <alignment horizontal="left" wrapText="1" indent="1"/>
    </xf>
    <xf numFmtId="49" fontId="69" fillId="0" borderId="0" xfId="0" applyNumberFormat="1" applyFont="1" applyBorder="1" applyAlignment="1" applyProtection="1">
      <alignment horizontal="left" vertical="center"/>
    </xf>
    <xf numFmtId="49" fontId="31" fillId="0" borderId="0" xfId="0" applyNumberFormat="1" applyFont="1" applyBorder="1" applyAlignment="1" applyProtection="1">
      <alignment horizontal="left" vertical="center"/>
    </xf>
    <xf numFmtId="0" fontId="16" fillId="0" borderId="5" xfId="0" applyFont="1" applyBorder="1" applyAlignment="1" applyProtection="1">
      <alignment horizontal="center" vertical="center"/>
    </xf>
    <xf numFmtId="0" fontId="30" fillId="0" borderId="0" xfId="0" applyFont="1" applyBorder="1" applyAlignment="1" applyProtection="1">
      <alignment horizontal="left" vertical="center" wrapText="1"/>
    </xf>
    <xf numFmtId="0" fontId="19" fillId="0" borderId="28" xfId="0" applyFont="1" applyBorder="1" applyAlignment="1" applyProtection="1">
      <alignment horizontal="center"/>
    </xf>
    <xf numFmtId="0" fontId="0" fillId="0" borderId="21" xfId="0" applyBorder="1" applyAlignment="1" applyProtection="1"/>
    <xf numFmtId="0" fontId="19" fillId="0" borderId="27" xfId="0" applyFont="1" applyFill="1" applyBorder="1" applyAlignment="1" applyProtection="1">
      <alignment horizontal="center" vertical="center"/>
    </xf>
    <xf numFmtId="0" fontId="0" fillId="0" borderId="38" xfId="0" applyBorder="1" applyAlignment="1" applyProtection="1">
      <alignment vertical="center"/>
    </xf>
    <xf numFmtId="0" fontId="16" fillId="0" borderId="10" xfId="0" applyFont="1" applyFill="1" applyBorder="1" applyAlignment="1" applyProtection="1">
      <alignment horizontal="center" vertical="center"/>
    </xf>
    <xf numFmtId="0" fontId="16" fillId="0" borderId="56" xfId="0" applyFont="1" applyFill="1" applyBorder="1" applyAlignment="1" applyProtection="1">
      <alignment horizontal="center" vertical="center"/>
    </xf>
    <xf numFmtId="49" fontId="16" fillId="0" borderId="9" xfId="0" applyNumberFormat="1" applyFont="1" applyBorder="1" applyAlignment="1" applyProtection="1">
      <alignment horizontal="center" vertical="center"/>
    </xf>
    <xf numFmtId="0" fontId="16" fillId="0" borderId="10" xfId="0" applyFont="1" applyFill="1" applyBorder="1" applyAlignment="1" applyProtection="1">
      <alignment horizontal="center" vertical="center" wrapText="1"/>
    </xf>
    <xf numFmtId="0" fontId="72" fillId="0" borderId="0" xfId="20" applyFont="1" applyBorder="1" applyAlignment="1" applyProtection="1">
      <alignment horizontal="left"/>
    </xf>
    <xf numFmtId="0" fontId="103" fillId="0" borderId="0" xfId="20" quotePrefix="1" applyFont="1" applyBorder="1" applyAlignment="1" applyProtection="1">
      <alignment horizontal="left" wrapText="1" indent="6"/>
    </xf>
    <xf numFmtId="0" fontId="103" fillId="0" borderId="0" xfId="20" applyFont="1" applyBorder="1" applyAlignment="1" applyProtection="1">
      <alignment horizontal="left" wrapText="1" indent="6"/>
    </xf>
    <xf numFmtId="0" fontId="105" fillId="0" borderId="0" xfId="20" applyFont="1" applyBorder="1" applyAlignment="1" applyProtection="1">
      <alignment horizontal="left" wrapText="1" indent="3"/>
    </xf>
    <xf numFmtId="0" fontId="0" fillId="0" borderId="0" xfId="0" applyAlignment="1"/>
    <xf numFmtId="0" fontId="103" fillId="0" borderId="0" xfId="20" applyFont="1" applyBorder="1" applyAlignment="1" applyProtection="1">
      <alignment horizontal="justify" wrapText="1"/>
    </xf>
    <xf numFmtId="0" fontId="72" fillId="0" borderId="0" xfId="20" applyFont="1" applyBorder="1" applyAlignment="1" applyProtection="1">
      <alignment horizontal="justify" wrapText="1"/>
    </xf>
    <xf numFmtId="0" fontId="84" fillId="0" borderId="149" xfId="20" applyFont="1" applyBorder="1" applyAlignment="1" applyProtection="1">
      <alignment horizontal="center"/>
    </xf>
    <xf numFmtId="0" fontId="0" fillId="0" borderId="149" xfId="0" applyBorder="1" applyAlignment="1"/>
    <xf numFmtId="0" fontId="0" fillId="0" borderId="0" xfId="0" applyAlignment="1">
      <alignment horizontal="left" wrapText="1" indent="6"/>
    </xf>
    <xf numFmtId="0" fontId="0" fillId="0" borderId="0" xfId="0" applyAlignment="1">
      <alignment horizontal="left" indent="6"/>
    </xf>
    <xf numFmtId="0" fontId="103" fillId="0" borderId="0" xfId="20" applyFont="1" applyBorder="1" applyAlignment="1" applyProtection="1">
      <alignment horizontal="left" wrapText="1" indent="1"/>
    </xf>
    <xf numFmtId="0" fontId="55" fillId="0" borderId="0" xfId="20" applyFont="1" applyBorder="1" applyAlignment="1" applyProtection="1">
      <alignment horizontal="left" wrapText="1" indent="1"/>
    </xf>
    <xf numFmtId="0" fontId="72" fillId="0" borderId="0" xfId="20" applyFont="1" applyBorder="1" applyAlignment="1" applyProtection="1">
      <alignment horizontal="left" wrapText="1"/>
    </xf>
    <xf numFmtId="0" fontId="0" fillId="0" borderId="0" xfId="0"/>
    <xf numFmtId="0" fontId="103" fillId="0" borderId="0" xfId="20" quotePrefix="1" applyFont="1" applyBorder="1" applyAlignment="1" applyProtection="1">
      <alignment horizontal="left" wrapText="1" indent="5"/>
    </xf>
    <xf numFmtId="0" fontId="103" fillId="0" borderId="0" xfId="20" applyFont="1" applyBorder="1" applyAlignment="1" applyProtection="1">
      <alignment horizontal="left" wrapText="1" indent="5"/>
    </xf>
    <xf numFmtId="0" fontId="16" fillId="12" borderId="150" xfId="6" applyFont="1" applyFill="1" applyBorder="1" applyAlignment="1" applyProtection="1">
      <alignment horizontal="center" vertical="center" wrapText="1"/>
    </xf>
    <xf numFmtId="0" fontId="0" fillId="0" borderId="151" xfId="0" applyBorder="1" applyAlignment="1">
      <alignment horizontal="center" vertical="center" wrapText="1"/>
    </xf>
    <xf numFmtId="0" fontId="0" fillId="0" borderId="152" xfId="0" applyBorder="1" applyAlignment="1">
      <alignment horizontal="center" vertical="center" wrapText="1"/>
    </xf>
    <xf numFmtId="0" fontId="16" fillId="0" borderId="144" xfId="6" applyFont="1" applyBorder="1" applyAlignment="1" applyProtection="1">
      <alignment horizontal="center"/>
    </xf>
    <xf numFmtId="0" fontId="0" fillId="0" borderId="144" xfId="0" applyBorder="1" applyAlignment="1" applyProtection="1">
      <alignment horizontal="center"/>
    </xf>
    <xf numFmtId="0" fontId="16" fillId="12" borderId="153" xfId="6" applyFont="1" applyFill="1" applyBorder="1" applyAlignment="1" applyProtection="1">
      <alignment horizontal="center" vertical="center" wrapText="1"/>
    </xf>
    <xf numFmtId="0" fontId="16" fillId="12" borderId="154" xfId="6" applyFont="1" applyFill="1" applyBorder="1" applyAlignment="1" applyProtection="1">
      <alignment horizontal="center" vertical="center" wrapText="1"/>
    </xf>
    <xf numFmtId="0" fontId="16" fillId="12" borderId="155" xfId="6" applyFont="1" applyFill="1" applyBorder="1" applyAlignment="1" applyProtection="1">
      <alignment horizontal="center" vertical="center" wrapText="1"/>
    </xf>
    <xf numFmtId="0" fontId="16" fillId="12" borderId="151" xfId="6" applyFont="1" applyFill="1" applyBorder="1" applyAlignment="1" applyProtection="1">
      <alignment horizontal="center" vertical="center" wrapText="1"/>
    </xf>
    <xf numFmtId="0" fontId="16" fillId="12" borderId="152" xfId="6" applyFont="1" applyFill="1" applyBorder="1" applyAlignment="1" applyProtection="1">
      <alignment horizontal="center" vertical="center" wrapText="1"/>
    </xf>
    <xf numFmtId="0" fontId="16" fillId="0" borderId="64" xfId="6" applyFont="1" applyFill="1" applyBorder="1" applyAlignment="1" applyProtection="1">
      <alignment horizontal="center" vertical="center" wrapText="1"/>
    </xf>
    <xf numFmtId="0" fontId="0" fillId="0" borderId="65" xfId="0" applyFill="1" applyBorder="1" applyAlignment="1" applyProtection="1"/>
    <xf numFmtId="0" fontId="0" fillId="0" borderId="37" xfId="0" applyFill="1" applyBorder="1" applyAlignment="1" applyProtection="1"/>
    <xf numFmtId="3" fontId="19" fillId="17" borderId="10" xfId="2" applyNumberFormat="1" applyFont="1" applyFill="1" applyBorder="1" applyAlignment="1" applyProtection="1">
      <alignment horizontal="center" vertical="center"/>
    </xf>
    <xf numFmtId="0" fontId="16" fillId="0" borderId="10" xfId="2" applyNumberFormat="1" applyFont="1" applyFill="1" applyBorder="1" applyAlignment="1" applyProtection="1">
      <alignment horizontal="center" vertical="center" wrapText="1"/>
    </xf>
    <xf numFmtId="0" fontId="19" fillId="6" borderId="0" xfId="13" applyFont="1" applyFill="1" applyAlignment="1" applyProtection="1">
      <alignment horizontal="left"/>
    </xf>
    <xf numFmtId="0" fontId="0" fillId="0" borderId="144" xfId="0" applyBorder="1" applyAlignment="1" applyProtection="1"/>
    <xf numFmtId="0" fontId="8" fillId="0" borderId="24" xfId="0" applyFont="1" applyBorder="1" applyAlignment="1" applyProtection="1">
      <alignment horizontal="center" vertical="center" wrapText="1"/>
    </xf>
    <xf numFmtId="0" fontId="34" fillId="0" borderId="24" xfId="0" applyFont="1" applyBorder="1" applyAlignment="1" applyProtection="1">
      <alignment horizontal="center" vertical="center" wrapText="1"/>
    </xf>
    <xf numFmtId="0" fontId="0" fillId="0" borderId="144" xfId="0" applyBorder="1" applyAlignment="1" applyProtection="1">
      <alignment readingOrder="1"/>
    </xf>
    <xf numFmtId="0" fontId="99" fillId="0" borderId="0" xfId="20" applyFont="1" applyBorder="1" applyAlignment="1" applyProtection="1">
      <alignment horizontal="left" wrapText="1"/>
    </xf>
    <xf numFmtId="0" fontId="97" fillId="0" borderId="0" xfId="20" applyFont="1" applyBorder="1" applyAlignment="1" applyProtection="1">
      <alignment horizontal="left" wrapText="1" indent="7"/>
    </xf>
    <xf numFmtId="0" fontId="8" fillId="0" borderId="0" xfId="20" applyFont="1" applyBorder="1" applyAlignment="1" applyProtection="1">
      <alignment horizontal="left" vertical="center" wrapText="1"/>
    </xf>
    <xf numFmtId="0" fontId="87" fillId="0" borderId="0" xfId="20" applyFont="1" applyBorder="1" applyAlignment="1" applyProtection="1">
      <alignment horizontal="left" wrapText="1" indent="3"/>
    </xf>
    <xf numFmtId="0" fontId="97" fillId="0" borderId="0" xfId="20" applyFont="1" applyBorder="1" applyAlignment="1" applyProtection="1">
      <alignment horizontal="left" wrapText="1" indent="3"/>
    </xf>
    <xf numFmtId="0" fontId="19" fillId="0" borderId="157" xfId="6" applyFont="1" applyFill="1" applyBorder="1" applyAlignment="1" applyProtection="1">
      <alignment horizontal="center" vertical="center" wrapText="1"/>
    </xf>
    <xf numFmtId="0" fontId="19" fillId="0" borderId="121" xfId="6" applyFont="1" applyFill="1" applyBorder="1" applyAlignment="1" applyProtection="1">
      <alignment horizontal="center" vertical="center" wrapText="1"/>
    </xf>
    <xf numFmtId="0" fontId="19" fillId="0" borderId="64" xfId="6" applyFont="1" applyFill="1" applyBorder="1" applyAlignment="1" applyProtection="1">
      <alignment horizontal="center" vertical="center" wrapText="1"/>
    </xf>
    <xf numFmtId="0" fontId="0" fillId="0" borderId="65" xfId="0" applyFill="1" applyBorder="1" applyAlignment="1" applyProtection="1">
      <alignment horizontal="center"/>
    </xf>
    <xf numFmtId="0" fontId="0" fillId="0" borderId="158" xfId="0" applyFill="1" applyBorder="1" applyAlignment="1" applyProtection="1">
      <alignment horizontal="center"/>
    </xf>
    <xf numFmtId="0" fontId="19" fillId="0" borderId="112" xfId="6" applyFont="1" applyFill="1" applyBorder="1" applyAlignment="1" applyProtection="1">
      <alignment horizontal="center" vertical="center" wrapText="1"/>
    </xf>
    <xf numFmtId="0" fontId="19" fillId="0" borderId="88" xfId="6" applyFont="1" applyFill="1" applyBorder="1" applyAlignment="1" applyProtection="1">
      <alignment horizontal="center" vertical="center" wrapText="1"/>
    </xf>
    <xf numFmtId="0" fontId="0" fillId="0" borderId="65" xfId="0" applyBorder="1" applyAlignment="1" applyProtection="1">
      <alignment horizontal="center"/>
    </xf>
    <xf numFmtId="0" fontId="0" fillId="0" borderId="37" xfId="0" applyBorder="1" applyAlignment="1" applyProtection="1">
      <alignment horizontal="center"/>
    </xf>
    <xf numFmtId="0" fontId="19" fillId="12" borderId="27" xfId="6" applyFont="1" applyFill="1" applyBorder="1" applyAlignment="1" applyProtection="1">
      <alignment horizontal="center" vertical="center" wrapText="1"/>
    </xf>
    <xf numFmtId="0" fontId="19" fillId="12" borderId="90" xfId="6" applyFont="1" applyFill="1" applyBorder="1" applyAlignment="1" applyProtection="1">
      <alignment horizontal="center" vertical="center" wrapText="1"/>
    </xf>
    <xf numFmtId="0" fontId="16" fillId="0" borderId="24" xfId="6" applyFont="1" applyBorder="1" applyAlignment="1" applyProtection="1">
      <alignment horizontal="center"/>
    </xf>
    <xf numFmtId="0" fontId="0" fillId="0" borderId="37" xfId="0" applyFill="1" applyBorder="1" applyAlignment="1" applyProtection="1">
      <alignment horizontal="center" vertical="center" wrapText="1"/>
    </xf>
    <xf numFmtId="0" fontId="0" fillId="0" borderId="65" xfId="0" applyBorder="1" applyAlignment="1" applyProtection="1"/>
    <xf numFmtId="0" fontId="0" fillId="0" borderId="163" xfId="0" applyBorder="1" applyAlignment="1" applyProtection="1"/>
    <xf numFmtId="0" fontId="31" fillId="0" borderId="0" xfId="6" applyFont="1" applyBorder="1" applyAlignment="1" applyProtection="1">
      <alignment horizontal="left"/>
    </xf>
    <xf numFmtId="0" fontId="30" fillId="0" borderId="0" xfId="6" applyFont="1" applyAlignment="1" applyProtection="1">
      <alignment horizontal="left"/>
    </xf>
    <xf numFmtId="0" fontId="19" fillId="0" borderId="144" xfId="6" applyFont="1" applyBorder="1" applyAlignment="1" applyProtection="1"/>
    <xf numFmtId="0" fontId="19" fillId="0" borderId="72" xfId="6" applyFont="1" applyFill="1" applyBorder="1" applyAlignment="1" applyProtection="1">
      <alignment horizontal="center" vertical="center" wrapText="1"/>
    </xf>
    <xf numFmtId="0" fontId="19" fillId="0" borderId="34" xfId="6" applyFont="1" applyFill="1" applyBorder="1" applyAlignment="1" applyProtection="1">
      <alignment horizontal="center" vertical="center" wrapText="1"/>
    </xf>
    <xf numFmtId="0" fontId="19" fillId="0" borderId="0" xfId="6" applyFont="1" applyFill="1" applyBorder="1" applyAlignment="1" applyProtection="1">
      <alignment horizontal="center" vertical="center" wrapText="1"/>
    </xf>
    <xf numFmtId="0" fontId="19" fillId="0" borderId="24" xfId="0" applyFont="1" applyBorder="1" applyAlignment="1" applyProtection="1"/>
    <xf numFmtId="0" fontId="34" fillId="0" borderId="24" xfId="0" applyFont="1" applyBorder="1" applyAlignment="1" applyProtection="1"/>
    <xf numFmtId="0" fontId="19" fillId="0" borderId="97" xfId="6" applyFont="1" applyFill="1" applyBorder="1" applyAlignment="1" applyProtection="1">
      <alignment horizontal="center" vertical="center"/>
    </xf>
    <xf numFmtId="0" fontId="19" fillId="0" borderId="156" xfId="6" applyFont="1" applyFill="1" applyBorder="1" applyAlignment="1" applyProtection="1">
      <alignment horizontal="center" vertical="center"/>
    </xf>
    <xf numFmtId="0" fontId="19" fillId="0" borderId="37" xfId="6" applyFont="1" applyBorder="1" applyAlignment="1" applyProtection="1">
      <alignment horizontal="center" vertical="center" wrapText="1"/>
    </xf>
    <xf numFmtId="0" fontId="19" fillId="0" borderId="24" xfId="6" applyFont="1" applyBorder="1" applyAlignment="1" applyProtection="1">
      <alignment horizontal="center" vertical="center" wrapText="1"/>
    </xf>
    <xf numFmtId="0" fontId="19" fillId="0" borderId="98" xfId="6" applyFont="1" applyBorder="1" applyAlignment="1" applyProtection="1">
      <alignment horizontal="center" vertical="center" wrapText="1"/>
    </xf>
    <xf numFmtId="0" fontId="19" fillId="0" borderId="159" xfId="6" applyFont="1" applyBorder="1" applyAlignment="1" applyProtection="1">
      <alignment horizontal="center" vertical="center" wrapText="1"/>
    </xf>
    <xf numFmtId="0" fontId="19" fillId="0" borderId="27" xfId="6" applyFont="1" applyFill="1" applyBorder="1" applyAlignment="1" applyProtection="1">
      <alignment horizontal="center" vertical="center" wrapText="1"/>
    </xf>
    <xf numFmtId="0" fontId="19" fillId="0" borderId="90" xfId="6" applyFont="1" applyFill="1" applyBorder="1" applyAlignment="1" applyProtection="1">
      <alignment horizontal="center" vertical="center" wrapText="1"/>
    </xf>
    <xf numFmtId="0" fontId="19" fillId="0" borderId="28" xfId="6" applyFont="1" applyFill="1" applyBorder="1" applyAlignment="1" applyProtection="1">
      <alignment horizontal="center" vertical="center"/>
    </xf>
    <xf numFmtId="0" fontId="19" fillId="0" borderId="15" xfId="6" applyFont="1" applyFill="1" applyBorder="1" applyAlignment="1" applyProtection="1">
      <alignment horizontal="center" vertical="center"/>
    </xf>
    <xf numFmtId="0" fontId="19" fillId="0" borderId="14" xfId="6" applyFont="1" applyFill="1" applyBorder="1" applyAlignment="1" applyProtection="1">
      <alignment horizontal="center" vertical="center" wrapText="1"/>
    </xf>
    <xf numFmtId="0" fontId="19" fillId="0" borderId="16" xfId="6" applyFont="1" applyFill="1" applyBorder="1" applyAlignment="1" applyProtection="1">
      <alignment horizontal="center" vertical="center" wrapText="1"/>
    </xf>
    <xf numFmtId="0" fontId="16" fillId="0" borderId="160" xfId="6" applyFont="1" applyBorder="1" applyAlignment="1" applyProtection="1">
      <alignment horizontal="center"/>
    </xf>
    <xf numFmtId="0" fontId="19" fillId="0" borderId="161" xfId="0" applyFont="1" applyBorder="1" applyAlignment="1" applyProtection="1">
      <alignment horizontal="center"/>
    </xf>
    <xf numFmtId="0" fontId="19" fillId="0" borderId="162" xfId="0" applyFont="1" applyBorder="1" applyAlignment="1" applyProtection="1">
      <alignment horizontal="center"/>
    </xf>
    <xf numFmtId="0" fontId="16" fillId="0" borderId="9" xfId="6" applyFont="1" applyBorder="1" applyAlignment="1" applyProtection="1">
      <alignment horizontal="center"/>
    </xf>
    <xf numFmtId="0" fontId="19" fillId="0" borderId="17" xfId="6" applyFont="1" applyFill="1" applyBorder="1" applyAlignment="1" applyProtection="1">
      <alignment horizontal="center" vertical="center" wrapText="1"/>
    </xf>
    <xf numFmtId="0" fontId="19" fillId="0" borderId="21" xfId="6" applyFont="1" applyFill="1" applyBorder="1" applyAlignment="1" applyProtection="1">
      <alignment horizontal="center" vertical="center" wrapText="1"/>
    </xf>
    <xf numFmtId="0" fontId="19" fillId="0" borderId="17" xfId="6" applyFont="1" applyBorder="1" applyAlignment="1" applyProtection="1">
      <alignment horizontal="center" vertical="center" wrapText="1"/>
    </xf>
    <xf numFmtId="0" fontId="19" fillId="0" borderId="21" xfId="6" applyFont="1" applyBorder="1" applyAlignment="1" applyProtection="1">
      <alignment horizontal="center" vertical="center" wrapText="1"/>
    </xf>
    <xf numFmtId="0" fontId="19" fillId="0" borderId="0" xfId="6" applyFont="1" applyAlignment="1" applyProtection="1"/>
    <xf numFmtId="0" fontId="73" fillId="0" borderId="27" xfId="6" applyFont="1" applyBorder="1" applyAlignment="1" applyProtection="1">
      <alignment horizontal="left" vertical="center" wrapText="1"/>
    </xf>
    <xf numFmtId="0" fontId="74" fillId="0" borderId="38" xfId="0" applyFont="1" applyBorder="1" applyAlignment="1" applyProtection="1">
      <alignment wrapText="1"/>
    </xf>
    <xf numFmtId="0" fontId="19" fillId="17" borderId="164" xfId="6" applyFont="1" applyFill="1" applyBorder="1" applyAlignment="1" applyProtection="1">
      <alignment horizontal="center" vertical="center"/>
    </xf>
    <xf numFmtId="0" fontId="34" fillId="17" borderId="18" xfId="0" applyFont="1" applyFill="1" applyBorder="1" applyAlignment="1" applyProtection="1">
      <alignment horizontal="center" vertical="center"/>
    </xf>
    <xf numFmtId="0" fontId="19" fillId="0" borderId="13" xfId="6" applyFont="1" applyBorder="1" applyAlignment="1" applyProtection="1">
      <alignment horizontal="center" vertical="center" wrapText="1"/>
    </xf>
    <xf numFmtId="0" fontId="19" fillId="0" borderId="56" xfId="6" applyFont="1" applyBorder="1" applyAlignment="1" applyProtection="1">
      <alignment horizontal="center" vertical="center" wrapText="1"/>
    </xf>
    <xf numFmtId="0" fontId="19" fillId="0" borderId="12" xfId="6" applyFont="1" applyBorder="1" applyAlignment="1" applyProtection="1">
      <alignment horizontal="center" vertical="center" wrapText="1"/>
    </xf>
    <xf numFmtId="0" fontId="73" fillId="0" borderId="55" xfId="6" applyFont="1" applyBorder="1" applyAlignment="1" applyProtection="1">
      <alignment horizontal="left" vertical="center"/>
    </xf>
    <xf numFmtId="0" fontId="74" fillId="0" borderId="8" xfId="0" applyFont="1" applyBorder="1" applyAlignment="1" applyProtection="1"/>
    <xf numFmtId="0" fontId="74" fillId="0" borderId="17" xfId="0" applyFont="1" applyBorder="1" applyAlignment="1" applyProtection="1"/>
    <xf numFmtId="0" fontId="34" fillId="0" borderId="0" xfId="20" applyFont="1" applyBorder="1" applyAlignment="1" applyProtection="1">
      <alignment horizontal="left" wrapText="1" indent="1"/>
    </xf>
    <xf numFmtId="0" fontId="34" fillId="0" borderId="144" xfId="0" applyFont="1" applyBorder="1" applyAlignment="1" applyProtection="1">
      <alignment wrapText="1"/>
    </xf>
    <xf numFmtId="0" fontId="16" fillId="0" borderId="144" xfId="6" applyFont="1" applyBorder="1" applyAlignment="1" applyProtection="1">
      <alignment horizontal="center" vertical="center" wrapText="1"/>
    </xf>
    <xf numFmtId="0" fontId="16" fillId="30" borderId="144" xfId="6" applyFont="1" applyFill="1" applyBorder="1" applyAlignment="1" applyProtection="1">
      <alignment horizontal="center"/>
    </xf>
    <xf numFmtId="0" fontId="34" fillId="30" borderId="144" xfId="0" applyFont="1" applyFill="1" applyBorder="1" applyAlignment="1" applyProtection="1">
      <alignment horizontal="center"/>
    </xf>
    <xf numFmtId="0" fontId="16" fillId="0" borderId="64" xfId="0" applyFont="1" applyBorder="1" applyAlignment="1" applyProtection="1">
      <alignment horizontal="center" vertical="center" wrapText="1"/>
    </xf>
    <xf numFmtId="0" fontId="0" fillId="0" borderId="65"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16" fillId="0" borderId="12" xfId="0" applyFont="1" applyBorder="1" applyAlignment="1" applyProtection="1">
      <alignment horizontal="center" vertical="center" wrapText="1"/>
    </xf>
    <xf numFmtId="0" fontId="16" fillId="0" borderId="15" xfId="0" applyFont="1" applyBorder="1" applyAlignment="1" applyProtection="1">
      <alignment horizontal="center" vertical="center"/>
    </xf>
    <xf numFmtId="0" fontId="16" fillId="0" borderId="16" xfId="0" applyFont="1" applyBorder="1" applyAlignment="1" applyProtection="1">
      <alignment horizontal="center" vertical="center"/>
    </xf>
    <xf numFmtId="0" fontId="16" fillId="0" borderId="16" xfId="0" applyFont="1" applyBorder="1" applyAlignment="1" applyProtection="1">
      <alignment horizontal="center" vertical="center" wrapText="1"/>
    </xf>
    <xf numFmtId="0" fontId="16" fillId="0" borderId="144" xfId="0" applyFont="1" applyBorder="1" applyAlignment="1" applyProtection="1">
      <alignment horizontal="center" wrapText="1"/>
    </xf>
    <xf numFmtId="0" fontId="0" fillId="0" borderId="144" xfId="0" applyBorder="1" applyAlignment="1" applyProtection="1">
      <alignment horizontal="center" wrapText="1"/>
    </xf>
    <xf numFmtId="0" fontId="31" fillId="0" borderId="0" xfId="0" applyFont="1" applyBorder="1" applyAlignment="1" applyProtection="1">
      <alignment horizontal="left" wrapText="1"/>
    </xf>
    <xf numFmtId="0" fontId="83" fillId="0" borderId="0" xfId="20" applyFont="1" applyBorder="1" applyAlignment="1" applyProtection="1">
      <alignment wrapText="1"/>
    </xf>
    <xf numFmtId="0" fontId="97" fillId="0" borderId="0" xfId="20" applyFont="1" applyBorder="1" applyAlignment="1" applyProtection="1">
      <alignment horizontal="left" vertical="top" wrapText="1"/>
    </xf>
    <xf numFmtId="0" fontId="84" fillId="0" borderId="0" xfId="20" quotePrefix="1" applyFont="1" applyBorder="1" applyAlignment="1" applyProtection="1">
      <alignment horizontal="left" vertical="top" wrapText="1" indent="1"/>
    </xf>
    <xf numFmtId="0" fontId="84" fillId="0" borderId="0" xfId="20" applyFont="1" applyBorder="1" applyAlignment="1" applyProtection="1">
      <alignment horizontal="left" vertical="top" wrapText="1" indent="1"/>
    </xf>
    <xf numFmtId="0" fontId="84" fillId="0" borderId="0" xfId="20" applyFont="1" applyBorder="1" applyAlignment="1" applyProtection="1">
      <alignment vertical="top"/>
    </xf>
    <xf numFmtId="0" fontId="83" fillId="0" borderId="0" xfId="20" applyFont="1" applyBorder="1" applyAlignment="1" applyProtection="1">
      <alignment vertical="top" wrapText="1"/>
    </xf>
    <xf numFmtId="0" fontId="86" fillId="0" borderId="0" xfId="20" quotePrefix="1" applyFont="1" applyBorder="1" applyAlignment="1" applyProtection="1">
      <alignment horizontal="left" vertical="top" wrapText="1" indent="1"/>
    </xf>
    <xf numFmtId="0" fontId="84" fillId="0" borderId="0" xfId="20" applyFont="1" applyBorder="1" applyProtection="1"/>
    <xf numFmtId="0" fontId="83" fillId="0" borderId="0" xfId="20" applyFont="1" applyBorder="1" applyAlignment="1" applyProtection="1">
      <alignment horizontal="justify" vertical="top"/>
    </xf>
    <xf numFmtId="0" fontId="83" fillId="0" borderId="0" xfId="20" quotePrefix="1" applyFont="1" applyBorder="1" applyAlignment="1" applyProtection="1">
      <alignment horizontal="left" vertical="top" wrapText="1" indent="1"/>
    </xf>
    <xf numFmtId="0" fontId="97" fillId="0" borderId="0" xfId="20" applyFont="1" applyBorder="1" applyAlignment="1" applyProtection="1">
      <alignment horizontal="left" wrapText="1"/>
    </xf>
    <xf numFmtId="0" fontId="87" fillId="0" borderId="0" xfId="20" applyFont="1" applyBorder="1" applyAlignment="1" applyProtection="1">
      <alignment horizontal="left" wrapText="1"/>
    </xf>
    <xf numFmtId="0" fontId="86" fillId="0" borderId="0" xfId="20" applyFont="1" applyBorder="1" applyAlignment="1" applyProtection="1">
      <alignment wrapText="1"/>
    </xf>
    <xf numFmtId="0" fontId="8" fillId="0" borderId="0" xfId="20" applyFont="1" applyBorder="1" applyAlignment="1" applyProtection="1">
      <alignment horizontal="justify" wrapText="1"/>
    </xf>
    <xf numFmtId="0" fontId="8" fillId="0" borderId="165" xfId="6" applyFont="1" applyBorder="1" applyAlignment="1" applyProtection="1">
      <alignment horizontal="center"/>
    </xf>
    <xf numFmtId="0" fontId="34" fillId="0" borderId="64" xfId="6" applyFont="1" applyBorder="1" applyAlignment="1" applyProtection="1">
      <alignment horizontal="left" wrapText="1"/>
    </xf>
    <xf numFmtId="0" fontId="34" fillId="0" borderId="65" xfId="6" applyFont="1" applyBorder="1" applyAlignment="1" applyProtection="1">
      <alignment horizontal="left" wrapText="1"/>
    </xf>
    <xf numFmtId="0" fontId="34" fillId="0" borderId="37" xfId="6" applyFont="1" applyBorder="1" applyAlignment="1" applyProtection="1">
      <alignment horizontal="left" wrapText="1"/>
    </xf>
    <xf numFmtId="0" fontId="19" fillId="12" borderId="157" xfId="6" applyFont="1" applyFill="1" applyBorder="1" applyAlignment="1" applyProtection="1">
      <alignment horizontal="center" wrapText="1"/>
    </xf>
    <xf numFmtId="0" fontId="19" fillId="12" borderId="113" xfId="6" applyFont="1" applyFill="1" applyBorder="1" applyAlignment="1" applyProtection="1">
      <alignment horizontal="center" wrapText="1"/>
    </xf>
    <xf numFmtId="0" fontId="19" fillId="12" borderId="122" xfId="6" applyFont="1" applyFill="1" applyBorder="1" applyAlignment="1" applyProtection="1">
      <alignment horizontal="center" wrapText="1"/>
    </xf>
    <xf numFmtId="0" fontId="19" fillId="12" borderId="147" xfId="6" applyFont="1" applyFill="1" applyBorder="1" applyAlignment="1" applyProtection="1">
      <alignment horizontal="center" wrapText="1"/>
    </xf>
    <xf numFmtId="0" fontId="19" fillId="0" borderId="55" xfId="6" applyFont="1" applyBorder="1" applyAlignment="1" applyProtection="1">
      <alignment horizontal="center" wrapText="1"/>
    </xf>
    <xf numFmtId="0" fontId="19" fillId="0" borderId="28" xfId="6" applyFont="1" applyBorder="1" applyAlignment="1" applyProtection="1">
      <alignment horizontal="center" wrapText="1"/>
    </xf>
    <xf numFmtId="0" fontId="19" fillId="0" borderId="17" xfId="6" applyFont="1" applyBorder="1" applyAlignment="1" applyProtection="1">
      <alignment horizontal="center" wrapText="1"/>
    </xf>
    <xf numFmtId="0" fontId="19" fillId="0" borderId="21" xfId="6" applyFont="1" applyBorder="1" applyAlignment="1" applyProtection="1">
      <alignment horizontal="center" wrapText="1"/>
    </xf>
    <xf numFmtId="0" fontId="19" fillId="12" borderId="55" xfId="6" applyFont="1" applyFill="1" applyBorder="1" applyAlignment="1" applyProtection="1">
      <alignment horizontal="center" wrapText="1"/>
    </xf>
    <xf numFmtId="0" fontId="19" fillId="12" borderId="28" xfId="6" applyFont="1" applyFill="1" applyBorder="1" applyAlignment="1" applyProtection="1">
      <alignment horizontal="center" wrapText="1"/>
    </xf>
    <xf numFmtId="0" fontId="19" fillId="12" borderId="17" xfId="6" applyFont="1" applyFill="1" applyBorder="1" applyAlignment="1" applyProtection="1">
      <alignment horizontal="center" wrapText="1"/>
    </xf>
    <xf numFmtId="0" fontId="19" fillId="12" borderId="21" xfId="6" applyFont="1" applyFill="1" applyBorder="1" applyAlignment="1" applyProtection="1">
      <alignment horizontal="center" wrapText="1"/>
    </xf>
    <xf numFmtId="0" fontId="19" fillId="12" borderId="24" xfId="6" applyFont="1" applyFill="1" applyBorder="1" applyAlignment="1" applyProtection="1">
      <alignment horizontal="center" wrapText="1"/>
    </xf>
    <xf numFmtId="0" fontId="21" fillId="0" borderId="0" xfId="6" applyFont="1" applyAlignment="1" applyProtection="1">
      <alignment wrapText="1"/>
    </xf>
    <xf numFmtId="0" fontId="34" fillId="0" borderId="0" xfId="0" applyFont="1" applyFill="1" applyBorder="1" applyAlignment="1" applyProtection="1">
      <alignment horizontal="justify" vertical="center" wrapText="1" readingOrder="1"/>
    </xf>
    <xf numFmtId="0" fontId="8" fillId="0" borderId="9" xfId="0" applyFont="1" applyFill="1" applyBorder="1" applyAlignment="1" applyProtection="1">
      <alignment horizontal="center" vertical="center" wrapText="1"/>
    </xf>
    <xf numFmtId="0" fontId="30" fillId="0" borderId="0"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16" fillId="0" borderId="166" xfId="0" applyFont="1" applyFill="1" applyBorder="1" applyAlignment="1" applyProtection="1">
      <alignment horizontal="center" vertical="center" wrapText="1"/>
    </xf>
    <xf numFmtId="0" fontId="16" fillId="0" borderId="166" xfId="0" applyFont="1" applyFill="1" applyBorder="1" applyAlignment="1" applyProtection="1">
      <alignment horizontal="left" vertical="center"/>
    </xf>
    <xf numFmtId="0" fontId="8" fillId="0" borderId="10" xfId="0" applyFont="1" applyBorder="1" applyAlignment="1" applyProtection="1">
      <alignment horizontal="center" vertical="center"/>
    </xf>
    <xf numFmtId="0" fontId="8" fillId="0" borderId="9" xfId="0" applyFont="1" applyFill="1" applyBorder="1" applyAlignment="1" applyProtection="1">
      <alignment horizontal="center"/>
    </xf>
    <xf numFmtId="0" fontId="31" fillId="0" borderId="0" xfId="6" applyFont="1" applyAlignment="1" applyProtection="1">
      <alignment horizontal="justify" vertical="center" wrapText="1"/>
    </xf>
    <xf numFmtId="0" fontId="83" fillId="25" borderId="0" xfId="20" applyFont="1" applyFill="1" applyBorder="1" applyAlignment="1">
      <alignment wrapText="1"/>
    </xf>
    <xf numFmtId="0" fontId="83" fillId="25" borderId="0" xfId="20" applyFont="1" applyFill="1"/>
    <xf numFmtId="0" fontId="84" fillId="25" borderId="144" xfId="20" applyFont="1" applyFill="1" applyBorder="1" applyAlignment="1" applyProtection="1">
      <alignment horizontal="center"/>
    </xf>
    <xf numFmtId="0" fontId="84" fillId="25" borderId="0" xfId="20" applyFont="1" applyFill="1" applyBorder="1" applyAlignment="1">
      <alignment wrapText="1"/>
    </xf>
    <xf numFmtId="0" fontId="76" fillId="0" borderId="0" xfId="0" applyFont="1" applyBorder="1" applyAlignment="1" applyProtection="1">
      <alignment horizontal="justify" wrapText="1"/>
    </xf>
    <xf numFmtId="0" fontId="0" fillId="0" borderId="0" xfId="0" applyAlignment="1">
      <alignment horizontal="justify" wrapText="1"/>
    </xf>
    <xf numFmtId="0" fontId="19" fillId="27" borderId="114" xfId="13" applyFont="1" applyFill="1" applyBorder="1" applyAlignment="1" applyProtection="1">
      <alignment horizontal="center" vertical="center"/>
    </xf>
    <xf numFmtId="0" fontId="19" fillId="27" borderId="24" xfId="13" applyFont="1" applyFill="1" applyBorder="1" applyAlignment="1" applyProtection="1">
      <alignment horizontal="center" vertical="center"/>
    </xf>
    <xf numFmtId="0" fontId="19" fillId="7" borderId="167" xfId="13" applyFont="1" applyFill="1" applyBorder="1" applyAlignment="1" applyProtection="1">
      <alignment horizontal="center" vertical="center"/>
    </xf>
    <xf numFmtId="0" fontId="19" fillId="7" borderId="86" xfId="13" applyFont="1" applyFill="1" applyBorder="1" applyAlignment="1" applyProtection="1">
      <alignment horizontal="center" vertical="center"/>
    </xf>
    <xf numFmtId="0" fontId="19" fillId="28" borderId="168" xfId="13" applyFont="1" applyFill="1" applyBorder="1" applyAlignment="1" applyProtection="1">
      <alignment horizontal="center" vertical="center" wrapText="1"/>
    </xf>
    <xf numFmtId="0" fontId="19" fillId="28" borderId="169" xfId="13" applyFont="1" applyFill="1" applyBorder="1" applyAlignment="1" applyProtection="1">
      <alignment horizontal="center" vertical="center" wrapText="1"/>
    </xf>
    <xf numFmtId="0" fontId="19" fillId="28" borderId="170" xfId="13" applyFont="1" applyFill="1" applyBorder="1" applyAlignment="1" applyProtection="1">
      <alignment horizontal="center" vertical="center" wrapText="1"/>
    </xf>
    <xf numFmtId="0" fontId="16" fillId="12" borderId="171" xfId="13" applyFont="1" applyFill="1" applyBorder="1" applyAlignment="1" applyProtection="1">
      <alignment horizontal="center" vertical="center" wrapText="1"/>
    </xf>
    <xf numFmtId="0" fontId="19" fillId="12" borderId="132" xfId="0" applyFont="1" applyFill="1" applyBorder="1" applyAlignment="1" applyProtection="1">
      <alignment horizontal="center"/>
    </xf>
    <xf numFmtId="0" fontId="19" fillId="12" borderId="172" xfId="0" applyFont="1" applyFill="1" applyBorder="1" applyAlignment="1" applyProtection="1">
      <alignment horizontal="center"/>
    </xf>
    <xf numFmtId="0" fontId="16" fillId="0" borderId="171" xfId="13" applyFont="1" applyFill="1" applyBorder="1" applyAlignment="1" applyProtection="1">
      <alignment horizontal="center" vertical="center" wrapText="1"/>
    </xf>
    <xf numFmtId="0" fontId="19" fillId="0" borderId="132" xfId="0" applyFont="1" applyFill="1" applyBorder="1" applyAlignment="1" applyProtection="1">
      <alignment horizontal="center"/>
    </xf>
    <xf numFmtId="0" fontId="19" fillId="0" borderId="172" xfId="0" applyFont="1" applyFill="1" applyBorder="1" applyAlignment="1" applyProtection="1">
      <alignment horizontal="center"/>
    </xf>
    <xf numFmtId="0" fontId="16" fillId="0" borderId="62" xfId="13" applyFont="1" applyFill="1" applyBorder="1" applyAlignment="1" applyProtection="1">
      <alignment horizontal="center" vertical="center" wrapText="1"/>
    </xf>
    <xf numFmtId="0" fontId="16" fillId="0" borderId="173" xfId="13" applyFont="1" applyFill="1" applyBorder="1" applyAlignment="1" applyProtection="1">
      <alignment horizontal="center" vertical="center" wrapText="1"/>
    </xf>
    <xf numFmtId="0" fontId="16" fillId="0" borderId="174" xfId="13" applyFont="1" applyFill="1" applyBorder="1" applyAlignment="1" applyProtection="1">
      <alignment horizontal="center" vertical="center" wrapText="1"/>
    </xf>
    <xf numFmtId="0" fontId="16" fillId="12" borderId="144" xfId="13" applyFont="1" applyFill="1" applyBorder="1" applyAlignment="1" applyProtection="1">
      <alignment horizontal="center" vertical="center" wrapText="1"/>
    </xf>
    <xf numFmtId="0" fontId="19" fillId="12" borderId="144" xfId="0" applyFont="1" applyFill="1" applyBorder="1" applyAlignment="1" applyProtection="1"/>
    <xf numFmtId="0" fontId="34" fillId="12" borderId="144" xfId="0" applyFont="1" applyFill="1" applyBorder="1" applyAlignment="1" applyProtection="1"/>
    <xf numFmtId="0" fontId="31" fillId="0" borderId="132" xfId="13" applyFont="1" applyFill="1" applyBorder="1" applyAlignment="1" applyProtection="1">
      <alignment horizontal="left" vertical="center" wrapText="1"/>
    </xf>
    <xf numFmtId="0" fontId="24" fillId="0" borderId="132" xfId="0" applyFont="1" applyBorder="1" applyAlignment="1" applyProtection="1">
      <alignment horizontal="left" vertical="center" wrapText="1"/>
    </xf>
    <xf numFmtId="0" fontId="51" fillId="0" borderId="0" xfId="13" applyFont="1" applyFill="1" applyAlignment="1" applyProtection="1">
      <alignment horizontal="left" wrapText="1"/>
      <protection hidden="1"/>
    </xf>
    <xf numFmtId="0" fontId="21" fillId="0" borderId="0" xfId="0" applyFont="1" applyAlignment="1" applyProtection="1">
      <alignment horizontal="left" wrapText="1"/>
    </xf>
    <xf numFmtId="0" fontId="31" fillId="0" borderId="0" xfId="0" quotePrefix="1" applyFont="1" applyBorder="1" applyAlignment="1" applyProtection="1">
      <alignment horizontal="left" wrapText="1" indent="1"/>
    </xf>
    <xf numFmtId="0" fontId="31" fillId="0" borderId="0" xfId="0" applyFont="1" applyBorder="1" applyAlignment="1" applyProtection="1">
      <alignment horizontal="left" wrapText="1" indent="1"/>
    </xf>
    <xf numFmtId="0" fontId="30" fillId="0" borderId="0" xfId="0" applyFont="1" applyAlignment="1" applyProtection="1">
      <alignment horizontal="left" indent="1"/>
    </xf>
    <xf numFmtId="0" fontId="30" fillId="0" borderId="0" xfId="13" quotePrefix="1" applyFont="1" applyFill="1" applyAlignment="1" applyProtection="1">
      <alignment horizontal="left" wrapText="1" indent="1"/>
      <protection hidden="1"/>
    </xf>
    <xf numFmtId="0" fontId="16" fillId="0" borderId="144" xfId="13" applyFont="1" applyFill="1" applyBorder="1" applyAlignment="1" applyProtection="1">
      <alignment horizontal="center" vertical="center" wrapText="1"/>
    </xf>
    <xf numFmtId="0" fontId="19" fillId="0" borderId="144" xfId="0" applyFont="1" applyFill="1" applyBorder="1" applyAlignment="1" applyProtection="1"/>
    <xf numFmtId="0" fontId="34" fillId="0" borderId="144" xfId="0" applyFont="1" applyFill="1" applyBorder="1" applyAlignment="1" applyProtection="1"/>
    <xf numFmtId="0" fontId="16" fillId="5" borderId="44" xfId="13" applyFont="1" applyFill="1" applyBorder="1" applyAlignment="1" applyProtection="1">
      <alignment horizontal="center" vertical="center" wrapText="1"/>
    </xf>
    <xf numFmtId="0" fontId="16" fillId="5" borderId="174" xfId="13" applyFont="1" applyFill="1" applyBorder="1" applyAlignment="1" applyProtection="1">
      <alignment horizontal="center" vertical="center" wrapText="1"/>
    </xf>
    <xf numFmtId="0" fontId="16" fillId="5" borderId="62" xfId="13" applyFont="1" applyFill="1" applyBorder="1" applyAlignment="1" applyProtection="1">
      <alignment horizontal="center" vertical="center" wrapText="1"/>
    </xf>
    <xf numFmtId="0" fontId="16" fillId="5" borderId="79" xfId="13" applyFont="1" applyFill="1" applyBorder="1" applyAlignment="1" applyProtection="1">
      <alignment horizontal="center" vertical="center" wrapText="1"/>
    </xf>
    <xf numFmtId="0" fontId="31" fillId="0" borderId="0" xfId="13" applyFont="1" applyFill="1" applyBorder="1" applyAlignment="1" applyProtection="1">
      <alignment horizontal="left" vertical="center" wrapText="1"/>
    </xf>
    <xf numFmtId="0" fontId="24" fillId="0" borderId="0" xfId="0" applyFont="1" applyBorder="1" applyAlignment="1" applyProtection="1">
      <alignment horizontal="left" vertical="center" wrapText="1"/>
    </xf>
    <xf numFmtId="0" fontId="30" fillId="0" borderId="0" xfId="0" quotePrefix="1" applyFont="1" applyBorder="1" applyAlignment="1" applyProtection="1">
      <alignment horizontal="left" wrapText="1" indent="1"/>
    </xf>
    <xf numFmtId="0" fontId="30" fillId="0" borderId="0" xfId="0" applyFont="1" applyBorder="1" applyAlignment="1" applyProtection="1">
      <alignment horizontal="left" wrapText="1" indent="1"/>
    </xf>
    <xf numFmtId="0" fontId="16" fillId="0" borderId="1" xfId="13" applyFont="1" applyFill="1" applyBorder="1" applyAlignment="1" applyProtection="1">
      <alignment horizontal="center" vertical="center" wrapText="1"/>
    </xf>
    <xf numFmtId="0" fontId="16" fillId="0" borderId="2" xfId="13" applyFont="1" applyFill="1" applyBorder="1" applyAlignment="1" applyProtection="1">
      <alignment horizontal="center" vertical="center" wrapText="1"/>
    </xf>
    <xf numFmtId="0" fontId="19" fillId="0" borderId="3" xfId="0" applyFont="1" applyFill="1" applyBorder="1" applyAlignment="1" applyProtection="1">
      <alignment horizontal="center"/>
    </xf>
    <xf numFmtId="0" fontId="16" fillId="0" borderId="79" xfId="13" applyFont="1" applyFill="1" applyBorder="1" applyAlignment="1" applyProtection="1">
      <alignment horizontal="center" vertical="center" wrapText="1"/>
    </xf>
    <xf numFmtId="0" fontId="19" fillId="28" borderId="86" xfId="13" applyFont="1" applyFill="1" applyBorder="1" applyAlignment="1" applyProtection="1">
      <alignment horizontal="center" vertical="center"/>
    </xf>
    <xf numFmtId="0" fontId="31" fillId="0" borderId="0" xfId="0" applyFont="1" applyAlignment="1" applyProtection="1">
      <alignment horizontal="left"/>
    </xf>
    <xf numFmtId="0" fontId="0" fillId="0" borderId="0" xfId="0" applyAlignment="1" applyProtection="1">
      <alignment horizontal="left"/>
    </xf>
    <xf numFmtId="0" fontId="16" fillId="0" borderId="9" xfId="0" applyFont="1" applyBorder="1" applyAlignment="1" applyProtection="1">
      <alignment horizontal="center" wrapText="1"/>
    </xf>
    <xf numFmtId="0" fontId="31" fillId="0" borderId="0" xfId="0" applyFont="1" applyAlignment="1" applyProtection="1">
      <alignment horizontal="justify" wrapText="1"/>
    </xf>
    <xf numFmtId="0" fontId="34" fillId="0" borderId="0" xfId="0" applyFont="1" applyAlignment="1" applyProtection="1">
      <alignment horizontal="justify" wrapText="1"/>
    </xf>
    <xf numFmtId="0" fontId="31" fillId="0" borderId="0" xfId="0" applyFont="1" applyAlignment="1" applyProtection="1">
      <alignment wrapText="1"/>
    </xf>
    <xf numFmtId="0" fontId="31" fillId="0" borderId="0" xfId="0" applyFont="1" applyBorder="1" applyAlignment="1" applyProtection="1">
      <alignment horizontal="left" vertical="top"/>
    </xf>
    <xf numFmtId="0" fontId="19" fillId="21" borderId="12" xfId="0" applyFont="1" applyFill="1" applyBorder="1" applyAlignment="1" applyProtection="1">
      <alignment horizontal="center" vertical="center"/>
      <protection locked="0"/>
    </xf>
    <xf numFmtId="0" fontId="19" fillId="21" borderId="56" xfId="0" applyFont="1" applyFill="1" applyBorder="1" applyAlignment="1" applyProtection="1">
      <alignment horizontal="center" vertical="center"/>
      <protection locked="0"/>
    </xf>
    <xf numFmtId="0" fontId="19" fillId="0" borderId="12" xfId="0" applyFont="1" applyBorder="1" applyAlignment="1" applyProtection="1">
      <alignment horizontal="left" wrapText="1"/>
    </xf>
    <xf numFmtId="0" fontId="107" fillId="0" borderId="0" xfId="20" applyFont="1" applyBorder="1" applyAlignment="1">
      <alignment horizontal="justify" vertical="center" wrapText="1"/>
    </xf>
    <xf numFmtId="0" fontId="83" fillId="0" borderId="0" xfId="20" applyAlignment="1">
      <alignment horizontal="justify" vertical="center" wrapText="1"/>
    </xf>
    <xf numFmtId="0" fontId="24" fillId="0" borderId="0" xfId="20" applyFont="1" applyBorder="1" applyAlignment="1" applyProtection="1">
      <alignment horizontal="justify" vertical="center"/>
    </xf>
    <xf numFmtId="0" fontId="24" fillId="0" borderId="0" xfId="20" quotePrefix="1" applyFont="1" applyBorder="1" applyAlignment="1" applyProtection="1">
      <alignment horizontal="left" vertical="center" wrapText="1" indent="1"/>
    </xf>
    <xf numFmtId="0" fontId="24" fillId="0" borderId="0" xfId="20" applyFont="1" applyBorder="1" applyAlignment="1" applyProtection="1">
      <alignment horizontal="left" vertical="center" wrapText="1" indent="1"/>
    </xf>
    <xf numFmtId="0" fontId="83" fillId="0" borderId="0" xfId="20" applyBorder="1" applyAlignment="1" applyProtection="1">
      <alignment horizontal="justify" vertical="center"/>
    </xf>
    <xf numFmtId="0" fontId="83" fillId="0" borderId="0" xfId="20" applyFont="1" applyBorder="1" applyAlignment="1" applyProtection="1">
      <alignment horizontal="justify" vertical="center"/>
    </xf>
    <xf numFmtId="0" fontId="68" fillId="0" borderId="0" xfId="20" applyFont="1" applyBorder="1" applyAlignment="1" applyProtection="1">
      <alignment horizontal="justify" vertical="center"/>
    </xf>
    <xf numFmtId="0" fontId="24" fillId="0" borderId="0" xfId="20" applyFont="1" applyBorder="1" applyAlignment="1">
      <alignment horizontal="justify" wrapText="1"/>
    </xf>
    <xf numFmtId="0" fontId="24" fillId="0" borderId="0" xfId="20" applyFont="1" applyBorder="1" applyAlignment="1">
      <alignment horizontal="justify"/>
    </xf>
    <xf numFmtId="0" fontId="24" fillId="0" borderId="0" xfId="20" quotePrefix="1" applyFont="1" applyBorder="1" applyAlignment="1">
      <alignment horizontal="left" wrapText="1" indent="1"/>
    </xf>
    <xf numFmtId="0" fontId="24" fillId="0" borderId="0" xfId="20" applyFont="1" applyBorder="1" applyAlignment="1">
      <alignment horizontal="left" wrapText="1" indent="1"/>
    </xf>
    <xf numFmtId="0" fontId="90" fillId="0" borderId="0" xfId="20" applyFont="1" applyBorder="1" applyAlignment="1" applyProtection="1">
      <alignment horizontal="left" wrapText="1"/>
    </xf>
    <xf numFmtId="0" fontId="83" fillId="0" borderId="0" xfId="20" applyBorder="1" applyAlignment="1" applyProtection="1">
      <alignment horizontal="justify" wrapText="1"/>
    </xf>
    <xf numFmtId="0" fontId="83" fillId="0" borderId="0" xfId="20" applyBorder="1" applyAlignment="1" applyProtection="1">
      <alignment wrapText="1"/>
    </xf>
    <xf numFmtId="0" fontId="24" fillId="0" borderId="0" xfId="20" applyFont="1" applyBorder="1" applyAlignment="1">
      <alignment horizontal="justify" vertical="center" wrapText="1"/>
    </xf>
    <xf numFmtId="0" fontId="107" fillId="0" borderId="0" xfId="20" applyFont="1" applyBorder="1" applyAlignment="1" applyProtection="1">
      <alignment horizontal="justify" wrapText="1"/>
    </xf>
    <xf numFmtId="0" fontId="86" fillId="0" borderId="0" xfId="20" applyFont="1" applyBorder="1" applyAlignment="1" applyProtection="1">
      <alignment horizontal="justify" wrapText="1"/>
    </xf>
    <xf numFmtId="0" fontId="90" fillId="0" borderId="0" xfId="20" applyFont="1" applyBorder="1" applyAlignment="1" applyProtection="1">
      <alignment horizontal="justify" wrapText="1"/>
    </xf>
    <xf numFmtId="0" fontId="108" fillId="0" borderId="0" xfId="20" applyFont="1" applyBorder="1" applyAlignment="1" applyProtection="1">
      <alignment horizontal="left" indent="1"/>
    </xf>
    <xf numFmtId="0" fontId="107" fillId="0" borderId="0" xfId="20" applyFont="1" applyBorder="1" applyAlignment="1" applyProtection="1">
      <alignment horizontal="left" wrapText="1" indent="1"/>
    </xf>
    <xf numFmtId="0" fontId="108" fillId="0" borderId="0" xfId="20" applyFont="1" applyBorder="1" applyAlignment="1" applyProtection="1">
      <alignment horizontal="left" wrapText="1" indent="1"/>
    </xf>
    <xf numFmtId="0" fontId="107" fillId="0" borderId="0" xfId="20" applyFont="1" applyBorder="1" applyAlignment="1" applyProtection="1">
      <alignment horizontal="left" wrapText="1"/>
    </xf>
    <xf numFmtId="0" fontId="24" fillId="0" borderId="0" xfId="20" applyFont="1" applyBorder="1" applyAlignment="1" applyProtection="1">
      <alignment horizontal="left" wrapText="1" indent="1"/>
    </xf>
    <xf numFmtId="0" fontId="16" fillId="0" borderId="144" xfId="0" applyFont="1" applyBorder="1" applyAlignment="1" applyProtection="1">
      <alignment horizontal="center"/>
    </xf>
    <xf numFmtId="0" fontId="31" fillId="0" borderId="10" xfId="0" applyFont="1" applyBorder="1" applyAlignment="1" applyProtection="1">
      <alignment horizontal="center" vertical="center" wrapText="1"/>
    </xf>
    <xf numFmtId="0" fontId="16" fillId="0" borderId="13" xfId="0" applyFont="1" applyBorder="1" applyAlignment="1" applyProtection="1">
      <alignment horizontal="center"/>
    </xf>
    <xf numFmtId="0" fontId="16" fillId="0" borderId="56" xfId="0" applyFont="1" applyBorder="1" applyAlignment="1" applyProtection="1">
      <alignment horizontal="center"/>
    </xf>
    <xf numFmtId="0" fontId="16" fillId="0" borderId="12" xfId="0" applyFont="1" applyBorder="1" applyAlignment="1" applyProtection="1">
      <alignment horizontal="left"/>
    </xf>
    <xf numFmtId="0" fontId="16" fillId="0" borderId="56" xfId="0" applyFont="1" applyBorder="1" applyAlignment="1" applyProtection="1">
      <alignment horizontal="left"/>
    </xf>
    <xf numFmtId="0" fontId="16" fillId="0" borderId="12" xfId="21" applyFont="1" applyFill="1" applyBorder="1" applyAlignment="1" applyProtection="1">
      <alignment horizontal="center" vertical="center" wrapText="1"/>
    </xf>
    <xf numFmtId="0" fontId="16" fillId="0" borderId="56" xfId="21" applyFont="1" applyFill="1" applyBorder="1" applyAlignment="1" applyProtection="1">
      <alignment horizontal="center" vertical="center" wrapText="1"/>
    </xf>
    <xf numFmtId="0" fontId="16" fillId="0" borderId="10" xfId="21" applyFont="1" applyFill="1" applyBorder="1" applyAlignment="1" applyProtection="1">
      <alignment horizontal="center" vertical="center" wrapText="1"/>
    </xf>
    <xf numFmtId="0" fontId="16" fillId="17" borderId="12" xfId="0" applyFont="1" applyFill="1" applyBorder="1" applyAlignment="1" applyProtection="1">
      <alignment horizontal="left"/>
    </xf>
    <xf numFmtId="0" fontId="16" fillId="17" borderId="56" xfId="0" applyFont="1" applyFill="1" applyBorder="1" applyAlignment="1" applyProtection="1">
      <alignment horizontal="left"/>
    </xf>
    <xf numFmtId="0" fontId="30" fillId="0" borderId="0" xfId="0" applyFont="1" applyFill="1" applyBorder="1" applyAlignment="1" applyProtection="1">
      <alignment horizontal="left" wrapText="1"/>
    </xf>
    <xf numFmtId="0" fontId="16" fillId="0" borderId="98" xfId="21" applyFont="1" applyBorder="1" applyAlignment="1" applyProtection="1">
      <alignment vertical="center" wrapText="1"/>
    </xf>
    <xf numFmtId="0" fontId="19" fillId="0" borderId="87" xfId="0" applyFont="1" applyBorder="1" applyAlignment="1" applyProtection="1">
      <alignment vertical="center" wrapText="1"/>
    </xf>
    <xf numFmtId="49" fontId="19" fillId="0" borderId="10" xfId="0" applyNumberFormat="1" applyFont="1" applyBorder="1" applyAlignment="1" applyProtection="1">
      <alignment horizontal="left"/>
    </xf>
    <xf numFmtId="0" fontId="16" fillId="0" borderId="24" xfId="0" applyFont="1" applyBorder="1" applyAlignment="1" applyProtection="1">
      <alignment horizontal="center" vertical="center" wrapText="1"/>
    </xf>
    <xf numFmtId="49" fontId="19" fillId="0" borderId="12" xfId="0" applyNumberFormat="1" applyFont="1" applyBorder="1" applyAlignment="1" applyProtection="1">
      <alignment horizontal="left"/>
    </xf>
    <xf numFmtId="0" fontId="19" fillId="0" borderId="56" xfId="0" applyFont="1" applyBorder="1" applyAlignment="1" applyProtection="1">
      <alignment horizontal="left"/>
    </xf>
    <xf numFmtId="0" fontId="0" fillId="0" borderId="65" xfId="0" applyBorder="1" applyAlignment="1" applyProtection="1">
      <alignment horizontal="left" wrapText="1"/>
    </xf>
    <xf numFmtId="0" fontId="0" fillId="0" borderId="37" xfId="0" applyBorder="1" applyAlignment="1" applyProtection="1">
      <alignment horizontal="left" wrapText="1"/>
    </xf>
    <xf numFmtId="0" fontId="16" fillId="4" borderId="12" xfId="0" applyFont="1" applyFill="1" applyBorder="1" applyAlignment="1" applyProtection="1">
      <alignment vertical="center" wrapText="1"/>
    </xf>
    <xf numFmtId="0" fontId="19" fillId="18" borderId="175" xfId="0" applyFont="1" applyFill="1" applyBorder="1" applyAlignment="1" applyProtection="1">
      <alignment vertical="center" wrapText="1"/>
    </xf>
    <xf numFmtId="0" fontId="16" fillId="4" borderId="24" xfId="21" applyFont="1" applyFill="1" applyBorder="1" applyAlignment="1" applyProtection="1">
      <alignment horizontal="left" vertical="center" wrapText="1"/>
    </xf>
    <xf numFmtId="0" fontId="16" fillId="4" borderId="56" xfId="0" applyFont="1" applyFill="1" applyBorder="1" applyAlignment="1" applyProtection="1">
      <alignment vertical="center" wrapText="1"/>
    </xf>
    <xf numFmtId="0" fontId="19" fillId="0" borderId="12" xfId="0" applyFont="1" applyBorder="1" applyAlignment="1" applyProtection="1">
      <alignment horizontal="justify" wrapText="1"/>
    </xf>
    <xf numFmtId="0" fontId="0" fillId="0" borderId="13" xfId="0" applyBorder="1" applyAlignment="1" applyProtection="1">
      <alignment horizontal="justify" wrapText="1"/>
    </xf>
    <xf numFmtId="0" fontId="0" fillId="0" borderId="56" xfId="0" applyBorder="1" applyAlignment="1" applyProtection="1">
      <alignment horizontal="justify" wrapText="1"/>
    </xf>
    <xf numFmtId="0" fontId="19" fillId="0" borderId="64" xfId="0" applyFont="1" applyFill="1" applyBorder="1" applyAlignment="1" applyProtection="1"/>
    <xf numFmtId="0" fontId="0" fillId="0" borderId="37" xfId="0" applyBorder="1" applyAlignment="1" applyProtection="1"/>
    <xf numFmtId="0" fontId="16" fillId="0" borderId="112" xfId="0" applyFont="1" applyFill="1" applyBorder="1" applyAlignment="1" applyProtection="1">
      <alignment horizontal="center" vertical="center" wrapText="1"/>
    </xf>
    <xf numFmtId="0" fontId="0" fillId="0" borderId="121" xfId="0" applyFill="1" applyBorder="1" applyAlignment="1" applyProtection="1">
      <alignment horizontal="center" vertical="center" wrapText="1"/>
    </xf>
    <xf numFmtId="0" fontId="0" fillId="0" borderId="113" xfId="0" applyFill="1" applyBorder="1" applyAlignment="1" applyProtection="1">
      <alignment horizontal="center" vertical="center" wrapText="1"/>
    </xf>
    <xf numFmtId="0" fontId="0" fillId="0" borderId="122" xfId="0" applyFill="1" applyBorder="1" applyAlignment="1" applyProtection="1">
      <alignment horizontal="center" vertical="center" wrapText="1"/>
    </xf>
    <xf numFmtId="0" fontId="0" fillId="0" borderId="25" xfId="0" applyFill="1" applyBorder="1" applyAlignment="1" applyProtection="1">
      <alignment horizontal="center" vertical="center" wrapText="1"/>
    </xf>
    <xf numFmtId="0" fontId="0" fillId="0" borderId="147" xfId="0" applyFill="1" applyBorder="1" applyAlignment="1" applyProtection="1">
      <alignment horizontal="center" vertical="center" wrapText="1"/>
    </xf>
    <xf numFmtId="0" fontId="16" fillId="0" borderId="55" xfId="0" applyFont="1" applyFill="1" applyBorder="1" applyAlignment="1" applyProtection="1">
      <alignment horizontal="center" vertical="center" wrapText="1"/>
    </xf>
    <xf numFmtId="0" fontId="0" fillId="0" borderId="19" xfId="0" applyFill="1" applyBorder="1" applyAlignment="1" applyProtection="1">
      <alignment horizontal="center" vertical="center" wrapText="1"/>
    </xf>
    <xf numFmtId="0" fontId="0" fillId="0" borderId="17" xfId="0" applyFill="1" applyBorder="1" applyAlignment="1" applyProtection="1">
      <alignment horizontal="center" vertical="center" wrapText="1"/>
    </xf>
    <xf numFmtId="0" fontId="0" fillId="0" borderId="11" xfId="0" applyFill="1" applyBorder="1" applyAlignment="1" applyProtection="1">
      <alignment horizontal="center" vertical="center" wrapText="1"/>
    </xf>
    <xf numFmtId="0" fontId="16" fillId="0" borderId="12" xfId="0" applyFont="1" applyBorder="1" applyAlignment="1" applyProtection="1">
      <alignment horizontal="justify" vertical="top" wrapText="1"/>
    </xf>
    <xf numFmtId="0" fontId="0" fillId="0" borderId="13" xfId="0" applyBorder="1" applyAlignment="1" applyProtection="1">
      <alignment horizontal="justify" vertical="top" wrapText="1"/>
    </xf>
    <xf numFmtId="0" fontId="0" fillId="0" borderId="56" xfId="0" applyBorder="1" applyAlignment="1" applyProtection="1">
      <alignment horizontal="justify" vertical="top" wrapText="1"/>
    </xf>
    <xf numFmtId="0" fontId="19" fillId="0" borderId="10" xfId="0" applyFont="1" applyFill="1" applyBorder="1" applyAlignment="1" applyProtection="1">
      <alignment horizontal="center" vertical="center" wrapText="1"/>
    </xf>
    <xf numFmtId="49" fontId="30" fillId="0" borderId="12" xfId="0" applyNumberFormat="1" applyFont="1" applyFill="1" applyBorder="1" applyAlignment="1" applyProtection="1">
      <alignment horizontal="left"/>
    </xf>
    <xf numFmtId="49" fontId="30" fillId="0" borderId="56" xfId="0" applyNumberFormat="1" applyFont="1" applyFill="1" applyBorder="1" applyAlignment="1" applyProtection="1">
      <alignment horizontal="left"/>
    </xf>
    <xf numFmtId="49" fontId="19" fillId="0" borderId="12" xfId="0" applyNumberFormat="1" applyFont="1" applyFill="1" applyBorder="1" applyAlignment="1" applyProtection="1">
      <alignment horizontal="left"/>
    </xf>
    <xf numFmtId="0" fontId="19" fillId="0" borderId="56" xfId="0" applyFont="1" applyFill="1" applyBorder="1" applyAlignment="1" applyProtection="1">
      <alignment horizontal="left"/>
    </xf>
    <xf numFmtId="0" fontId="31" fillId="0" borderId="24" xfId="0" applyFont="1" applyBorder="1" applyAlignment="1" applyProtection="1">
      <alignment horizontal="center" vertical="center" wrapText="1"/>
    </xf>
    <xf numFmtId="0" fontId="16" fillId="0" borderId="9" xfId="0" applyFont="1" applyFill="1" applyBorder="1" applyAlignment="1" applyProtection="1">
      <alignment horizontal="center"/>
    </xf>
    <xf numFmtId="0" fontId="30" fillId="0" borderId="0" xfId="0" applyFont="1" applyBorder="1" applyAlignment="1" applyProtection="1">
      <alignment horizontal="justify" wrapText="1"/>
    </xf>
    <xf numFmtId="0" fontId="24" fillId="0" borderId="0" xfId="0" applyFont="1" applyAlignment="1" applyProtection="1">
      <alignment wrapText="1"/>
    </xf>
    <xf numFmtId="0" fontId="0" fillId="0" borderId="0" xfId="0" applyFont="1" applyAlignment="1" applyProtection="1">
      <alignment wrapText="1"/>
    </xf>
    <xf numFmtId="0" fontId="19" fillId="0" borderId="10" xfId="0" applyFont="1" applyBorder="1" applyAlignment="1" applyProtection="1">
      <alignment horizontal="center" vertical="center" wrapText="1"/>
    </xf>
    <xf numFmtId="0" fontId="31" fillId="18" borderId="10" xfId="0" applyFont="1" applyFill="1" applyBorder="1" applyAlignment="1" applyProtection="1">
      <alignment horizontal="center"/>
    </xf>
    <xf numFmtId="0" fontId="0" fillId="0" borderId="0" xfId="0" applyFont="1" applyAlignment="1" applyProtection="1">
      <alignment vertical="center" wrapText="1"/>
    </xf>
    <xf numFmtId="0" fontId="34" fillId="0" borderId="64" xfId="6" applyFont="1" applyFill="1" applyBorder="1" applyAlignment="1" applyProtection="1">
      <alignment horizontal="left" wrapText="1"/>
    </xf>
    <xf numFmtId="0" fontId="0" fillId="0" borderId="65" xfId="0" applyFill="1" applyBorder="1" applyAlignment="1" applyProtection="1">
      <alignment horizontal="left" wrapText="1"/>
    </xf>
    <xf numFmtId="0" fontId="0" fillId="0" borderId="37" xfId="0" applyFill="1" applyBorder="1" applyAlignment="1" applyProtection="1">
      <alignment horizontal="left" wrapText="1"/>
    </xf>
    <xf numFmtId="49" fontId="81" fillId="2" borderId="0" xfId="23" applyAlignment="1">
      <alignment horizontal="center" vertical="justify"/>
    </xf>
    <xf numFmtId="0" fontId="0" fillId="0" borderId="0" xfId="0" applyAlignment="1">
      <alignment horizontal="center" vertical="justify"/>
    </xf>
    <xf numFmtId="0" fontId="0" fillId="12" borderId="27" xfId="0" applyFill="1" applyBorder="1" applyAlignment="1" applyProtection="1"/>
    <xf numFmtId="0" fontId="0" fillId="12" borderId="38" xfId="0" applyFill="1" applyBorder="1" applyAlignment="1" applyProtection="1"/>
    <xf numFmtId="0" fontId="0" fillId="12" borderId="64" xfId="0" applyFill="1" applyBorder="1" applyAlignment="1" applyProtection="1">
      <alignment horizontal="center"/>
    </xf>
    <xf numFmtId="0" fontId="0" fillId="12" borderId="65" xfId="0" applyFill="1" applyBorder="1" applyAlignment="1" applyProtection="1">
      <alignment horizontal="center"/>
    </xf>
    <xf numFmtId="0" fontId="0" fillId="12" borderId="37" xfId="0" applyFill="1" applyBorder="1" applyAlignment="1" applyProtection="1">
      <alignment horizontal="center"/>
    </xf>
    <xf numFmtId="0" fontId="0" fillId="12" borderId="24" xfId="0" applyFill="1" applyBorder="1" applyAlignment="1" applyProtection="1">
      <alignment horizontal="center" vertical="center"/>
    </xf>
    <xf numFmtId="0" fontId="24" fillId="12" borderId="0" xfId="0" applyFont="1" applyFill="1" applyAlignment="1" applyProtection="1">
      <alignment wrapText="1"/>
    </xf>
    <xf numFmtId="0" fontId="16" fillId="12" borderId="9" xfId="0" applyFont="1" applyFill="1" applyBorder="1" applyAlignment="1" applyProtection="1">
      <alignment horizontal="center"/>
    </xf>
    <xf numFmtId="0" fontId="0" fillId="0" borderId="9" xfId="0" applyBorder="1" applyAlignment="1" applyProtection="1">
      <alignment horizontal="center"/>
    </xf>
    <xf numFmtId="0" fontId="8" fillId="0" borderId="0" xfId="0" applyFont="1" applyFill="1" applyBorder="1" applyAlignment="1" applyProtection="1">
      <alignment horizontal="justify" vertical="center" wrapText="1"/>
    </xf>
    <xf numFmtId="0" fontId="0" fillId="0" borderId="0" xfId="0" applyAlignment="1" applyProtection="1">
      <alignment horizontal="justify" wrapText="1"/>
    </xf>
    <xf numFmtId="0" fontId="8" fillId="0" borderId="9" xfId="0" applyFont="1" applyBorder="1" applyAlignment="1" applyProtection="1">
      <alignment horizontal="center"/>
    </xf>
    <xf numFmtId="0" fontId="90" fillId="0" borderId="27" xfId="20" applyFont="1" applyBorder="1" applyAlignment="1" applyProtection="1">
      <alignment horizontal="justify" wrapText="1"/>
    </xf>
    <xf numFmtId="0" fontId="83" fillId="0" borderId="0" xfId="20" applyBorder="1" applyAlignment="1" applyProtection="1">
      <alignment horizontal="left"/>
    </xf>
    <xf numFmtId="0" fontId="83" fillId="0" borderId="0" xfId="20" applyFont="1" applyBorder="1" applyAlignment="1" applyProtection="1">
      <alignment horizontal="left"/>
    </xf>
    <xf numFmtId="0" fontId="84" fillId="0" borderId="0" xfId="20" applyFont="1" applyBorder="1" applyAlignment="1" applyProtection="1">
      <alignment wrapText="1"/>
    </xf>
    <xf numFmtId="0" fontId="94" fillId="0" borderId="90" xfId="20" applyFont="1" applyBorder="1" applyAlignment="1" applyProtection="1">
      <alignment horizontal="justify" wrapText="1"/>
    </xf>
    <xf numFmtId="0" fontId="94" fillId="0" borderId="38" xfId="20" applyFont="1" applyBorder="1" applyAlignment="1" applyProtection="1">
      <alignment horizontal="justify" wrapText="1"/>
    </xf>
    <xf numFmtId="0" fontId="90" fillId="0" borderId="0" xfId="20" applyFont="1" applyBorder="1" applyAlignment="1" applyProtection="1">
      <alignment wrapText="1"/>
    </xf>
    <xf numFmtId="0" fontId="111" fillId="0" borderId="0" xfId="20" applyFont="1" applyBorder="1" applyAlignment="1" applyProtection="1">
      <alignment horizontal="justify" wrapText="1"/>
    </xf>
    <xf numFmtId="0" fontId="83" fillId="0" borderId="0" xfId="20" applyBorder="1" applyAlignment="1" applyProtection="1">
      <alignment horizontal="left" wrapText="1" indent="5"/>
    </xf>
    <xf numFmtId="0" fontId="84" fillId="0" borderId="59" xfId="20" applyFont="1" applyBorder="1" applyAlignment="1" applyProtection="1">
      <alignment horizontal="center" vertical="center"/>
    </xf>
    <xf numFmtId="0" fontId="84" fillId="0" borderId="132" xfId="20" applyFont="1" applyBorder="1" applyAlignment="1" applyProtection="1">
      <alignment horizontal="center"/>
    </xf>
    <xf numFmtId="0" fontId="84" fillId="0" borderId="0" xfId="20" applyFont="1" applyBorder="1" applyAlignment="1" applyProtection="1">
      <alignment horizontal="center"/>
    </xf>
    <xf numFmtId="0" fontId="19" fillId="12" borderId="0" xfId="11" applyFont="1" applyFill="1" applyBorder="1" applyAlignment="1" applyProtection="1">
      <alignment horizontal="left" vertical="center" wrapText="1"/>
    </xf>
    <xf numFmtId="0" fontId="0" fillId="12" borderId="0" xfId="0" applyFill="1" applyBorder="1" applyAlignment="1" applyProtection="1">
      <alignment horizontal="left" vertical="center" wrapText="1"/>
    </xf>
    <xf numFmtId="3" fontId="19" fillId="12" borderId="64" xfId="11" applyNumberFormat="1" applyFont="1" applyFill="1" applyBorder="1" applyAlignment="1" applyProtection="1">
      <alignment horizontal="center" vertical="center"/>
      <protection locked="0"/>
    </xf>
    <xf numFmtId="3" fontId="19" fillId="12" borderId="65" xfId="0" applyNumberFormat="1" applyFont="1" applyFill="1" applyBorder="1" applyAlignment="1" applyProtection="1">
      <alignment horizontal="center" vertical="center"/>
      <protection locked="0"/>
    </xf>
    <xf numFmtId="3" fontId="19" fillId="12" borderId="37" xfId="0" applyNumberFormat="1" applyFont="1" applyFill="1" applyBorder="1" applyAlignment="1" applyProtection="1">
      <alignment horizontal="center" vertical="center"/>
      <protection locked="0"/>
    </xf>
    <xf numFmtId="0" fontId="16" fillId="12" borderId="144" xfId="11" applyFont="1" applyFill="1" applyBorder="1" applyAlignment="1" applyProtection="1">
      <alignment horizontal="center" vertical="center" wrapText="1"/>
    </xf>
    <xf numFmtId="0" fontId="19" fillId="12" borderId="64" xfId="11" applyFont="1" applyFill="1" applyBorder="1" applyAlignment="1" applyProtection="1">
      <alignment horizontal="center" vertical="center"/>
    </xf>
    <xf numFmtId="0" fontId="34" fillId="12" borderId="65" xfId="0" applyFont="1" applyFill="1" applyBorder="1" applyAlignment="1" applyProtection="1">
      <alignment horizontal="center" vertical="center"/>
    </xf>
    <xf numFmtId="0" fontId="34" fillId="12" borderId="37" xfId="0" applyFont="1" applyFill="1" applyBorder="1" applyAlignment="1" applyProtection="1">
      <alignment horizontal="center" vertical="center"/>
    </xf>
    <xf numFmtId="0" fontId="19" fillId="0" borderId="64" xfId="11" applyFont="1" applyBorder="1" applyAlignment="1" applyProtection="1">
      <alignment horizontal="center" vertical="center"/>
    </xf>
    <xf numFmtId="0" fontId="34" fillId="0" borderId="65" xfId="0" applyFont="1" applyBorder="1" applyAlignment="1" applyProtection="1">
      <alignment horizontal="center" vertical="center"/>
    </xf>
    <xf numFmtId="0" fontId="34" fillId="0" borderId="37" xfId="0" applyFont="1" applyBorder="1" applyAlignment="1" applyProtection="1">
      <alignment horizontal="center" vertical="center"/>
    </xf>
    <xf numFmtId="3" fontId="19" fillId="0" borderId="122" xfId="11" applyNumberFormat="1" applyFont="1" applyBorder="1" applyAlignment="1" applyProtection="1">
      <alignment horizontal="center" vertical="center"/>
      <protection locked="0"/>
    </xf>
    <xf numFmtId="3" fontId="19" fillId="0" borderId="25" xfId="0" applyNumberFormat="1" applyFont="1" applyBorder="1" applyAlignment="1" applyProtection="1">
      <alignment horizontal="center" vertical="center"/>
      <protection locked="0"/>
    </xf>
    <xf numFmtId="3" fontId="19" fillId="0" borderId="147" xfId="0" applyNumberFormat="1" applyFont="1" applyBorder="1" applyAlignment="1" applyProtection="1">
      <alignment horizontal="center" vertical="center"/>
      <protection locked="0"/>
    </xf>
    <xf numFmtId="0" fontId="19" fillId="20" borderId="64" xfId="11" applyFont="1" applyFill="1" applyBorder="1" applyAlignment="1" applyProtection="1">
      <alignment horizontal="center" vertical="center"/>
      <protection locked="0"/>
    </xf>
    <xf numFmtId="0" fontId="19" fillId="20" borderId="65" xfId="11" applyFont="1" applyFill="1" applyBorder="1" applyAlignment="1" applyProtection="1">
      <alignment horizontal="center" vertical="center"/>
      <protection locked="0"/>
    </xf>
    <xf numFmtId="0" fontId="19" fillId="20" borderId="37" xfId="11" applyFont="1" applyFill="1" applyBorder="1" applyAlignment="1" applyProtection="1">
      <alignment horizontal="center" vertical="center"/>
      <protection locked="0"/>
    </xf>
    <xf numFmtId="0" fontId="19" fillId="0" borderId="0" xfId="11" applyFont="1" applyAlignment="1" applyProtection="1">
      <alignment vertical="center" wrapText="1"/>
    </xf>
    <xf numFmtId="0" fontId="0" fillId="0" borderId="0" xfId="0" applyAlignment="1" applyProtection="1">
      <alignment vertical="center" wrapText="1"/>
    </xf>
    <xf numFmtId="0" fontId="16" fillId="0" borderId="0" xfId="11" applyFont="1" applyBorder="1" applyAlignment="1" applyProtection="1">
      <alignment horizontal="left" vertical="center" wrapText="1"/>
    </xf>
    <xf numFmtId="0" fontId="16" fillId="0" borderId="24" xfId="11" applyFont="1" applyFill="1" applyBorder="1" applyAlignment="1" applyProtection="1">
      <alignment horizontal="left" vertical="center" wrapText="1"/>
    </xf>
    <xf numFmtId="0" fontId="31" fillId="0" borderId="0" xfId="11" applyFont="1" applyAlignment="1" applyProtection="1">
      <alignment horizontal="left" vertical="center" wrapText="1"/>
    </xf>
    <xf numFmtId="0" fontId="34" fillId="0" borderId="0" xfId="0" applyFont="1" applyAlignment="1" applyProtection="1">
      <alignment vertical="center" wrapText="1"/>
    </xf>
    <xf numFmtId="0" fontId="19" fillId="0" borderId="37" xfId="11" applyFont="1" applyBorder="1" applyAlignment="1" applyProtection="1">
      <alignment horizontal="center" vertical="center"/>
    </xf>
    <xf numFmtId="0" fontId="16" fillId="0" borderId="64" xfId="11" applyFont="1" applyBorder="1" applyAlignment="1" applyProtection="1">
      <alignment horizontal="center" vertical="center" wrapText="1"/>
    </xf>
    <xf numFmtId="0" fontId="16" fillId="0" borderId="37" xfId="11" applyFont="1" applyBorder="1" applyAlignment="1" applyProtection="1">
      <alignment horizontal="center" vertical="center" wrapText="1"/>
    </xf>
    <xf numFmtId="0" fontId="16" fillId="0" borderId="64" xfId="11" applyFont="1" applyFill="1" applyBorder="1" applyAlignment="1" applyProtection="1">
      <alignment horizontal="center" vertical="center"/>
    </xf>
    <xf numFmtId="0" fontId="16" fillId="0" borderId="37" xfId="11" applyFont="1" applyFill="1" applyBorder="1" applyAlignment="1" applyProtection="1">
      <alignment horizontal="center" vertical="center"/>
    </xf>
    <xf numFmtId="0" fontId="16" fillId="0" borderId="144" xfId="11" applyFont="1" applyBorder="1" applyAlignment="1" applyProtection="1">
      <alignment horizontal="center" vertical="center" wrapText="1"/>
    </xf>
    <xf numFmtId="0" fontId="0" fillId="0" borderId="0" xfId="0" applyAlignment="1" applyProtection="1">
      <alignment vertical="center"/>
    </xf>
    <xf numFmtId="3" fontId="19" fillId="0" borderId="64" xfId="11" applyNumberFormat="1" applyFont="1" applyBorder="1" applyAlignment="1" applyProtection="1">
      <alignment horizontal="center" vertical="center"/>
      <protection locked="0"/>
    </xf>
    <xf numFmtId="3" fontId="19" fillId="0" borderId="65" xfId="0" applyNumberFormat="1" applyFont="1" applyBorder="1" applyAlignment="1" applyProtection="1">
      <alignment horizontal="center" vertical="center"/>
      <protection locked="0"/>
    </xf>
    <xf numFmtId="3" fontId="19" fillId="0" borderId="37" xfId="0" applyNumberFormat="1" applyFont="1" applyBorder="1" applyAlignment="1" applyProtection="1">
      <alignment horizontal="center" vertical="center"/>
      <protection locked="0"/>
    </xf>
    <xf numFmtId="0" fontId="16" fillId="0" borderId="24" xfId="11" applyFont="1" applyBorder="1" applyAlignment="1" applyProtection="1">
      <alignment horizontal="center" vertical="center" wrapText="1"/>
    </xf>
    <xf numFmtId="0" fontId="16" fillId="0" borderId="103" xfId="0" applyFont="1" applyBorder="1" applyAlignment="1" applyProtection="1">
      <alignment horizontal="center" vertical="center" wrapText="1"/>
    </xf>
    <xf numFmtId="0" fontId="16" fillId="0" borderId="176" xfId="0" applyFont="1" applyBorder="1" applyAlignment="1" applyProtection="1">
      <alignment horizontal="center" vertical="center" wrapText="1"/>
    </xf>
    <xf numFmtId="0" fontId="19" fillId="0" borderId="24" xfId="11" applyFont="1" applyBorder="1" applyAlignment="1" applyProtection="1">
      <alignment horizontal="center" vertical="center"/>
    </xf>
    <xf numFmtId="0" fontId="16" fillId="0" borderId="0" xfId="11" applyFont="1" applyBorder="1" applyAlignment="1" applyProtection="1">
      <alignment horizontal="justify" vertical="center" wrapText="1"/>
    </xf>
    <xf numFmtId="0" fontId="19" fillId="0" borderId="24" xfId="11" applyFont="1" applyBorder="1" applyAlignment="1" applyProtection="1">
      <alignment horizontal="center" vertical="center" wrapText="1"/>
    </xf>
    <xf numFmtId="3" fontId="16" fillId="18" borderId="98" xfId="11" applyNumberFormat="1" applyFont="1" applyFill="1" applyBorder="1" applyAlignment="1" applyProtection="1">
      <alignment horizontal="left" vertical="center"/>
    </xf>
    <xf numFmtId="3" fontId="16" fillId="18" borderId="161" xfId="11" applyNumberFormat="1" applyFont="1" applyFill="1" applyBorder="1" applyAlignment="1" applyProtection="1">
      <alignment horizontal="left" vertical="center"/>
    </xf>
    <xf numFmtId="3" fontId="16" fillId="18" borderId="87" xfId="11" applyNumberFormat="1" applyFont="1" applyFill="1" applyBorder="1" applyAlignment="1" applyProtection="1">
      <alignment horizontal="left" vertical="center"/>
    </xf>
    <xf numFmtId="0" fontId="16" fillId="0" borderId="27" xfId="11" applyFont="1" applyBorder="1" applyAlignment="1" applyProtection="1">
      <alignment horizontal="center" vertical="center" wrapText="1"/>
    </xf>
    <xf numFmtId="0" fontId="16" fillId="0" borderId="90" xfId="11" applyFont="1" applyBorder="1" applyAlignment="1" applyProtection="1">
      <alignment horizontal="center" vertical="center" wrapText="1"/>
    </xf>
    <xf numFmtId="0" fontId="16" fillId="0" borderId="38" xfId="11" applyFont="1" applyBorder="1" applyAlignment="1" applyProtection="1">
      <alignment horizontal="center" vertical="center" wrapText="1"/>
    </xf>
    <xf numFmtId="0" fontId="19" fillId="0" borderId="24" xfId="11" applyFont="1" applyFill="1" applyBorder="1" applyAlignment="1" applyProtection="1">
      <alignment horizontal="left" vertical="center" wrapText="1"/>
    </xf>
    <xf numFmtId="0" fontId="31" fillId="0" borderId="0" xfId="11" applyFont="1" applyAlignment="1" applyProtection="1">
      <alignment horizontal="justify" vertical="center" wrapText="1"/>
    </xf>
    <xf numFmtId="0" fontId="19" fillId="0" borderId="144" xfId="0" applyFont="1" applyBorder="1" applyAlignment="1" applyProtection="1">
      <alignment horizontal="center" vertical="center"/>
    </xf>
    <xf numFmtId="0" fontId="0" fillId="0" borderId="144" xfId="0" applyBorder="1" applyAlignment="1" applyProtection="1">
      <alignment horizontal="center" vertical="center"/>
    </xf>
    <xf numFmtId="0" fontId="19" fillId="0" borderId="89" xfId="6" applyFont="1" applyBorder="1" applyAlignment="1" applyProtection="1">
      <alignment horizontal="center" vertical="center" wrapText="1"/>
    </xf>
    <xf numFmtId="0" fontId="19" fillId="0" borderId="92" xfId="0" applyFont="1" applyBorder="1" applyAlignment="1" applyProtection="1">
      <alignment vertical="center" wrapText="1"/>
    </xf>
    <xf numFmtId="0" fontId="8" fillId="12" borderId="64" xfId="1" applyFont="1" applyFill="1" applyBorder="1" applyAlignment="1" applyProtection="1">
      <alignment horizontal="center"/>
    </xf>
    <xf numFmtId="0" fontId="8" fillId="0" borderId="64" xfId="1" applyFont="1" applyBorder="1" applyAlignment="1" applyProtection="1">
      <alignment horizontal="center" vertical="center"/>
    </xf>
    <xf numFmtId="0" fontId="0" fillId="0" borderId="65" xfId="0" applyBorder="1" applyAlignment="1"/>
    <xf numFmtId="0" fontId="0" fillId="0" borderId="37" xfId="0" applyBorder="1" applyAlignment="1"/>
    <xf numFmtId="0" fontId="19" fillId="0" borderId="0" xfId="6" applyFont="1" applyAlignment="1" applyProtection="1">
      <alignment horizontal="left" wrapText="1"/>
    </xf>
    <xf numFmtId="0" fontId="19" fillId="0" borderId="37" xfId="6" applyFont="1" applyFill="1" applyBorder="1" applyAlignment="1" applyProtection="1">
      <alignment horizontal="center" vertical="center" wrapText="1"/>
    </xf>
    <xf numFmtId="0" fontId="8" fillId="0" borderId="64" xfId="1" applyFont="1" applyBorder="1" applyAlignment="1" applyProtection="1">
      <alignment horizontal="center"/>
    </xf>
    <xf numFmtId="0" fontId="8" fillId="0" borderId="9" xfId="6" applyFont="1" applyBorder="1" applyAlignment="1" applyProtection="1"/>
    <xf numFmtId="0" fontId="34" fillId="0" borderId="0" xfId="6" applyFont="1" applyAlignment="1" applyProtection="1"/>
    <xf numFmtId="0" fontId="34" fillId="0" borderId="0" xfId="6" applyFont="1" applyFill="1" applyBorder="1" applyAlignment="1" applyProtection="1">
      <alignment horizontal="justify" wrapText="1"/>
    </xf>
    <xf numFmtId="0" fontId="30" fillId="0" borderId="0" xfId="13" applyFont="1" applyBorder="1" applyAlignment="1" applyProtection="1">
      <alignment wrapText="1"/>
    </xf>
    <xf numFmtId="0" fontId="16" fillId="0" borderId="144" xfId="13" applyFont="1" applyBorder="1" applyAlignment="1" applyProtection="1">
      <alignment horizontal="center"/>
    </xf>
    <xf numFmtId="0" fontId="19" fillId="0" borderId="0" xfId="13" applyFont="1" applyAlignment="1" applyProtection="1">
      <alignment wrapText="1"/>
    </xf>
    <xf numFmtId="0" fontId="19" fillId="0" borderId="0" xfId="13" applyFont="1" applyAlignment="1" applyProtection="1">
      <alignment horizontal="justify" wrapText="1"/>
    </xf>
    <xf numFmtId="0" fontId="34" fillId="0" borderId="0" xfId="0" applyFont="1" applyAlignment="1" applyProtection="1">
      <alignment horizontal="justify"/>
    </xf>
    <xf numFmtId="0" fontId="16" fillId="0" borderId="24" xfId="0" applyFont="1" applyBorder="1" applyAlignment="1" applyProtection="1"/>
    <xf numFmtId="0" fontId="19" fillId="0" borderId="0" xfId="0" applyFont="1" applyAlignment="1" applyProtection="1">
      <alignment wrapText="1"/>
    </xf>
    <xf numFmtId="0" fontId="83" fillId="0" borderId="0" xfId="20" applyFont="1" applyBorder="1" applyAlignment="1" applyProtection="1">
      <alignment horizontal="justify" vertical="top" wrapText="1"/>
    </xf>
    <xf numFmtId="0" fontId="84" fillId="0" borderId="0" xfId="20" applyFont="1" applyBorder="1" applyAlignment="1" applyProtection="1">
      <alignment horizontal="justify" vertical="top" wrapText="1"/>
    </xf>
    <xf numFmtId="0" fontId="34" fillId="0" borderId="0" xfId="6" applyFont="1" applyAlignment="1" applyProtection="1">
      <alignment horizontal="justify" wrapText="1"/>
    </xf>
    <xf numFmtId="0" fontId="8" fillId="0" borderId="144" xfId="6" applyFont="1" applyBorder="1" applyAlignment="1" applyProtection="1">
      <alignment horizontal="center"/>
    </xf>
    <xf numFmtId="0" fontId="8" fillId="0" borderId="0" xfId="6" applyFont="1" applyBorder="1" applyAlignment="1" applyProtection="1">
      <alignment horizontal="justify" vertical="top" wrapText="1"/>
    </xf>
    <xf numFmtId="0" fontId="8" fillId="0" borderId="64" xfId="6" applyFont="1" applyBorder="1" applyAlignment="1" applyProtection="1">
      <alignment horizontal="left"/>
    </xf>
    <xf numFmtId="0" fontId="8" fillId="0" borderId="65" xfId="6" applyFont="1" applyBorder="1" applyAlignment="1" applyProtection="1">
      <alignment horizontal="left"/>
    </xf>
    <xf numFmtId="0" fontId="8" fillId="0" borderId="24" xfId="6" applyFont="1" applyBorder="1" applyAlignment="1" applyProtection="1">
      <alignment horizontal="left"/>
    </xf>
    <xf numFmtId="49" fontId="81" fillId="2" borderId="0" xfId="2" applyNumberFormat="1" applyFont="1" applyFill="1" applyBorder="1" applyAlignment="1" applyProtection="1">
      <alignment horizontal="center" vertical="center"/>
    </xf>
    <xf numFmtId="49" fontId="82" fillId="2" borderId="0" xfId="0" applyNumberFormat="1" applyFont="1" applyFill="1" applyBorder="1" applyAlignment="1" applyProtection="1">
      <alignment horizontal="center" vertical="center"/>
    </xf>
    <xf numFmtId="0" fontId="71" fillId="0" borderId="0" xfId="13" applyFont="1" applyBorder="1" applyAlignment="1" applyProtection="1">
      <alignment wrapText="1"/>
    </xf>
    <xf numFmtId="0" fontId="26" fillId="0" borderId="0" xfId="0" applyFont="1" applyBorder="1" applyAlignment="1" applyProtection="1">
      <alignment wrapText="1"/>
    </xf>
    <xf numFmtId="0" fontId="30" fillId="0" borderId="0" xfId="13" applyFont="1" applyFill="1" applyBorder="1" applyAlignment="1" applyProtection="1">
      <alignment horizontal="left" wrapText="1"/>
    </xf>
    <xf numFmtId="0" fontId="0" fillId="0" borderId="0" xfId="0" applyFont="1" applyAlignment="1" applyProtection="1">
      <alignment horizontal="left" wrapText="1"/>
    </xf>
    <xf numFmtId="4" fontId="16" fillId="0" borderId="112" xfId="6" applyNumberFormat="1" applyFont="1" applyFill="1" applyBorder="1" applyAlignment="1" applyProtection="1">
      <alignment horizontal="center" vertical="center" wrapText="1"/>
      <protection locked="0"/>
    </xf>
    <xf numFmtId="4" fontId="16" fillId="0" borderId="113" xfId="6" applyNumberFormat="1" applyFont="1" applyFill="1" applyBorder="1" applyAlignment="1" applyProtection="1">
      <alignment horizontal="center" vertical="center" wrapText="1"/>
      <protection locked="0"/>
    </xf>
    <xf numFmtId="4" fontId="16" fillId="0" borderId="122" xfId="6" applyNumberFormat="1" applyFont="1" applyFill="1" applyBorder="1" applyAlignment="1" applyProtection="1">
      <alignment horizontal="center" vertical="center" wrapText="1"/>
      <protection locked="0"/>
    </xf>
    <xf numFmtId="4" fontId="16" fillId="0" borderId="147" xfId="6" applyNumberFormat="1" applyFont="1" applyFill="1" applyBorder="1" applyAlignment="1" applyProtection="1">
      <alignment horizontal="center" vertical="center" wrapText="1"/>
      <protection locked="0"/>
    </xf>
    <xf numFmtId="4" fontId="16" fillId="18" borderId="112" xfId="6" quotePrefix="1" applyNumberFormat="1" applyFont="1" applyFill="1" applyBorder="1" applyAlignment="1" applyProtection="1">
      <alignment horizontal="center" vertical="center" wrapText="1"/>
    </xf>
    <xf numFmtId="4" fontId="0" fillId="18" borderId="113" xfId="0" applyNumberFormat="1" applyFill="1" applyBorder="1" applyAlignment="1" applyProtection="1">
      <alignment horizontal="center" vertical="center" wrapText="1"/>
    </xf>
    <xf numFmtId="4" fontId="16" fillId="18" borderId="122" xfId="6" applyNumberFormat="1" applyFont="1" applyFill="1" applyBorder="1" applyAlignment="1" applyProtection="1">
      <alignment horizontal="center" vertical="center" wrapText="1"/>
    </xf>
    <xf numFmtId="4" fontId="0" fillId="18" borderId="147" xfId="0" applyNumberFormat="1" applyFill="1" applyBorder="1" applyAlignment="1" applyProtection="1">
      <alignment horizontal="center" vertical="center" wrapText="1"/>
    </xf>
    <xf numFmtId="0" fontId="16" fillId="0" borderId="24" xfId="6" applyFont="1" applyFill="1" applyBorder="1" applyAlignment="1" applyProtection="1">
      <alignment horizontal="center" vertical="center" wrapText="1"/>
    </xf>
    <xf numFmtId="0" fontId="19" fillId="0" borderId="24" xfId="0" applyFont="1" applyFill="1" applyBorder="1" applyAlignment="1" applyProtection="1">
      <alignment vertical="center"/>
    </xf>
    <xf numFmtId="0" fontId="31" fillId="0" borderId="0" xfId="13" applyFont="1" applyFill="1" applyBorder="1" applyAlignment="1" applyProtection="1">
      <alignment horizontal="left" wrapText="1"/>
    </xf>
    <xf numFmtId="0" fontId="16" fillId="0" borderId="0" xfId="0" applyFont="1" applyFill="1" applyBorder="1" applyAlignment="1" applyProtection="1">
      <alignment vertical="center" wrapText="1"/>
    </xf>
    <xf numFmtId="0" fontId="0" fillId="0" borderId="177" xfId="0" applyBorder="1" applyAlignment="1" applyProtection="1">
      <alignment wrapText="1"/>
    </xf>
    <xf numFmtId="0" fontId="19" fillId="0" borderId="178" xfId="13" applyFont="1" applyFill="1" applyBorder="1" applyAlignment="1" applyProtection="1">
      <alignment horizontal="center" vertical="center" wrapText="1"/>
    </xf>
    <xf numFmtId="0" fontId="19" fillId="0" borderId="179" xfId="0" applyFont="1" applyFill="1" applyBorder="1" applyAlignment="1" applyProtection="1">
      <alignment horizontal="center" vertical="center" wrapText="1"/>
    </xf>
    <xf numFmtId="0" fontId="19" fillId="0" borderId="64" xfId="6" applyFont="1" applyFill="1" applyBorder="1" applyAlignment="1" applyProtection="1">
      <alignment horizontal="left" wrapText="1"/>
    </xf>
    <xf numFmtId="0" fontId="19" fillId="0" borderId="65" xfId="6" applyFont="1" applyFill="1" applyBorder="1" applyAlignment="1" applyProtection="1">
      <alignment horizontal="left" wrapText="1"/>
    </xf>
    <xf numFmtId="0" fontId="19" fillId="0" borderId="37" xfId="6" applyFont="1" applyFill="1" applyBorder="1" applyAlignment="1" applyProtection="1">
      <alignment horizontal="left" wrapText="1"/>
    </xf>
    <xf numFmtId="0" fontId="19" fillId="0" borderId="5" xfId="13" applyFont="1" applyFill="1" applyBorder="1" applyAlignment="1" applyProtection="1">
      <alignment vertical="center"/>
    </xf>
    <xf numFmtId="0" fontId="19" fillId="0" borderId="5" xfId="0" applyFont="1" applyFill="1" applyBorder="1" applyAlignment="1" applyProtection="1">
      <alignment vertical="center"/>
    </xf>
    <xf numFmtId="0" fontId="19" fillId="0" borderId="123" xfId="13" applyFont="1" applyFill="1" applyBorder="1" applyAlignment="1" applyProtection="1">
      <alignment horizontal="center" vertical="center" wrapText="1"/>
    </xf>
    <xf numFmtId="0" fontId="19" fillId="0" borderId="144" xfId="0" applyFont="1" applyFill="1" applyBorder="1" applyAlignment="1" applyProtection="1">
      <alignment horizontal="center" vertical="center" wrapText="1"/>
    </xf>
    <xf numFmtId="0" fontId="19" fillId="0" borderId="131" xfId="0" applyFont="1" applyFill="1" applyBorder="1" applyAlignment="1" applyProtection="1">
      <alignment horizontal="center" vertical="center" wrapText="1"/>
    </xf>
    <xf numFmtId="0" fontId="19" fillId="0" borderId="180" xfId="13" applyFont="1" applyFill="1" applyBorder="1" applyAlignment="1" applyProtection="1">
      <alignment horizontal="center" vertical="center" wrapText="1"/>
    </xf>
    <xf numFmtId="0" fontId="19" fillId="0" borderId="124" xfId="0" applyFont="1" applyFill="1" applyBorder="1" applyAlignment="1" applyProtection="1">
      <alignment horizontal="center" vertical="center" wrapText="1"/>
    </xf>
    <xf numFmtId="0" fontId="19" fillId="0" borderId="181" xfId="13" applyFont="1" applyFill="1" applyBorder="1" applyAlignment="1" applyProtection="1">
      <alignment horizontal="center" vertical="center" wrapText="1"/>
    </xf>
    <xf numFmtId="0" fontId="19" fillId="0" borderId="182" xfId="0" applyFont="1" applyFill="1" applyBorder="1" applyAlignment="1" applyProtection="1">
      <alignment horizontal="center" vertical="center" wrapText="1"/>
    </xf>
    <xf numFmtId="0" fontId="16" fillId="0" borderId="1" xfId="13" applyFont="1" applyFill="1" applyBorder="1" applyAlignment="1" applyProtection="1">
      <alignment horizontal="center" vertical="center"/>
    </xf>
    <xf numFmtId="0" fontId="16" fillId="0" borderId="183" xfId="13" applyFont="1" applyFill="1" applyBorder="1" applyAlignment="1" applyProtection="1">
      <alignment horizontal="center" vertical="center"/>
    </xf>
    <xf numFmtId="0" fontId="16" fillId="0" borderId="7" xfId="13" applyFont="1" applyFill="1" applyBorder="1" applyAlignment="1" applyProtection="1">
      <alignment horizontal="center" vertical="center"/>
    </xf>
    <xf numFmtId="0" fontId="16" fillId="0" borderId="0" xfId="13" applyFont="1" applyFill="1" applyBorder="1" applyAlignment="1" applyProtection="1">
      <alignment horizontal="center" vertical="center"/>
    </xf>
    <xf numFmtId="0" fontId="16" fillId="0" borderId="4" xfId="13" applyFont="1" applyFill="1" applyBorder="1" applyAlignment="1" applyProtection="1">
      <alignment horizontal="center" vertical="center"/>
    </xf>
    <xf numFmtId="0" fontId="16" fillId="0" borderId="5" xfId="13" applyFont="1" applyFill="1" applyBorder="1" applyAlignment="1" applyProtection="1">
      <alignment horizontal="center" vertical="center"/>
    </xf>
    <xf numFmtId="3" fontId="19" fillId="0" borderId="12" xfId="6" applyNumberFormat="1" applyFont="1" applyFill="1" applyBorder="1" applyAlignment="1" applyProtection="1">
      <alignment horizontal="left" vertical="center" wrapText="1"/>
    </xf>
    <xf numFmtId="0" fontId="19" fillId="0" borderId="56" xfId="0" applyFont="1" applyFill="1" applyBorder="1" applyAlignment="1" applyProtection="1"/>
    <xf numFmtId="3" fontId="19" fillId="0" borderId="12" xfId="6" applyNumberFormat="1" applyFont="1" applyFill="1" applyBorder="1" applyAlignment="1" applyProtection="1">
      <alignment vertical="center" wrapText="1"/>
    </xf>
    <xf numFmtId="3" fontId="16" fillId="18" borderId="12" xfId="6" applyNumberFormat="1" applyFont="1" applyFill="1" applyBorder="1" applyAlignment="1" applyProtection="1">
      <alignment vertical="center" wrapText="1"/>
    </xf>
    <xf numFmtId="0" fontId="19" fillId="18" borderId="56" xfId="0" applyFont="1" applyFill="1" applyBorder="1" applyAlignment="1" applyProtection="1">
      <alignment vertical="center" wrapText="1"/>
    </xf>
    <xf numFmtId="0" fontId="16" fillId="0" borderId="60" xfId="13" applyFont="1" applyFill="1" applyBorder="1" applyAlignment="1" applyProtection="1">
      <alignment horizontal="center" vertical="center" wrapText="1"/>
    </xf>
    <xf numFmtId="0" fontId="16" fillId="0" borderId="115" xfId="13" applyFont="1" applyFill="1" applyBorder="1" applyAlignment="1" applyProtection="1">
      <alignment horizontal="center" vertical="center" wrapText="1"/>
    </xf>
    <xf numFmtId="0" fontId="16" fillId="0" borderId="116" xfId="13" applyFont="1" applyFill="1" applyBorder="1" applyAlignment="1" applyProtection="1">
      <alignment horizontal="center" vertical="center" wrapText="1"/>
    </xf>
    <xf numFmtId="0" fontId="16" fillId="0" borderId="180" xfId="13" applyFont="1" applyFill="1" applyBorder="1" applyAlignment="1" applyProtection="1">
      <alignment horizontal="center" vertical="center" wrapText="1"/>
    </xf>
    <xf numFmtId="0" fontId="16" fillId="0" borderId="181" xfId="13" applyFont="1" applyFill="1" applyBorder="1" applyAlignment="1" applyProtection="1">
      <alignment horizontal="center" vertical="center" wrapText="1"/>
    </xf>
    <xf numFmtId="0" fontId="16" fillId="0" borderId="90" xfId="13" applyFont="1" applyFill="1" applyBorder="1" applyAlignment="1" applyProtection="1">
      <alignment horizontal="center" vertical="center" wrapText="1"/>
    </xf>
    <xf numFmtId="0" fontId="16" fillId="0" borderId="142" xfId="13" applyFont="1" applyFill="1" applyBorder="1" applyAlignment="1" applyProtection="1">
      <alignment horizontal="center" vertical="center" wrapText="1"/>
    </xf>
    <xf numFmtId="0" fontId="16" fillId="0" borderId="178" xfId="13" applyFont="1" applyFill="1" applyBorder="1" applyAlignment="1" applyProtection="1">
      <alignment horizontal="center" vertical="center" wrapText="1"/>
    </xf>
    <xf numFmtId="0" fontId="16" fillId="0" borderId="184" xfId="13" applyFont="1" applyFill="1" applyBorder="1" applyAlignment="1" applyProtection="1">
      <alignment horizontal="center" vertical="center" wrapText="1"/>
    </xf>
    <xf numFmtId="0" fontId="16" fillId="0" borderId="123" xfId="13" applyFont="1" applyFill="1" applyBorder="1" applyAlignment="1" applyProtection="1">
      <alignment horizontal="center" vertical="center"/>
    </xf>
    <xf numFmtId="0" fontId="16" fillId="0" borderId="144" xfId="13" applyFont="1" applyFill="1" applyBorder="1" applyAlignment="1" applyProtection="1">
      <alignment horizontal="center" vertical="center"/>
    </xf>
    <xf numFmtId="0" fontId="16" fillId="0" borderId="131" xfId="13" applyFont="1" applyFill="1" applyBorder="1" applyAlignment="1" applyProtection="1">
      <alignment horizontal="center" vertical="center"/>
    </xf>
    <xf numFmtId="0" fontId="19" fillId="0" borderId="60" xfId="13" applyFont="1" applyFill="1" applyBorder="1" applyAlignment="1" applyProtection="1">
      <alignment horizontal="center" vertical="center" wrapText="1"/>
    </xf>
    <xf numFmtId="0" fontId="19" fillId="0" borderId="115" xfId="13" applyFont="1" applyFill="1" applyBorder="1" applyAlignment="1" applyProtection="1">
      <alignment horizontal="center" vertical="center" wrapText="1"/>
    </xf>
    <xf numFmtId="0" fontId="19" fillId="0" borderId="144" xfId="13" applyFont="1" applyFill="1" applyBorder="1" applyAlignment="1" applyProtection="1">
      <alignment horizontal="center" vertical="center" wrapText="1"/>
    </xf>
    <xf numFmtId="0" fontId="19" fillId="0" borderId="131" xfId="13" applyFont="1" applyFill="1" applyBorder="1" applyAlignment="1" applyProtection="1">
      <alignment horizontal="center" vertical="center" wrapText="1"/>
    </xf>
    <xf numFmtId="0" fontId="19" fillId="0" borderId="185" xfId="13" applyFont="1" applyFill="1" applyBorder="1" applyAlignment="1" applyProtection="1">
      <alignment horizontal="center" vertical="center" wrapText="1"/>
    </xf>
    <xf numFmtId="0" fontId="19" fillId="0" borderId="172" xfId="13" applyFont="1" applyFill="1" applyBorder="1" applyAlignment="1" applyProtection="1">
      <alignment horizontal="center" vertical="center" wrapText="1"/>
    </xf>
    <xf numFmtId="0" fontId="19" fillId="0" borderId="141" xfId="0" applyFont="1" applyFill="1" applyBorder="1" applyAlignment="1" applyProtection="1">
      <alignment horizontal="center" vertical="center" wrapText="1"/>
    </xf>
    <xf numFmtId="0" fontId="19" fillId="0" borderId="114" xfId="13" applyFont="1" applyFill="1" applyBorder="1" applyAlignment="1" applyProtection="1">
      <alignment horizontal="center" vertical="center" wrapText="1"/>
    </xf>
    <xf numFmtId="0" fontId="19" fillId="0" borderId="52" xfId="0" applyFont="1" applyFill="1" applyBorder="1" applyAlignment="1" applyProtection="1">
      <alignment horizontal="center" vertical="center" wrapText="1"/>
    </xf>
    <xf numFmtId="0" fontId="19" fillId="0" borderId="12" xfId="6" applyFont="1" applyFill="1" applyBorder="1" applyAlignment="1" applyProtection="1">
      <alignment vertical="center" wrapText="1"/>
    </xf>
    <xf numFmtId="0" fontId="16" fillId="18" borderId="12" xfId="6" applyFont="1" applyFill="1" applyBorder="1" applyAlignment="1" applyProtection="1">
      <alignment horizontal="left" vertical="center" wrapText="1"/>
    </xf>
    <xf numFmtId="0" fontId="19" fillId="18" borderId="56" xfId="0" applyFont="1" applyFill="1" applyBorder="1" applyAlignment="1" applyProtection="1">
      <alignment horizontal="left" vertical="center" wrapText="1"/>
    </xf>
    <xf numFmtId="3" fontId="16" fillId="18" borderId="12" xfId="6" applyNumberFormat="1" applyFont="1" applyFill="1" applyBorder="1" applyAlignment="1" applyProtection="1">
      <alignment horizontal="left" vertical="center" wrapText="1"/>
    </xf>
    <xf numFmtId="0" fontId="16" fillId="18" borderId="12" xfId="6" applyFont="1" applyFill="1" applyBorder="1" applyAlignment="1" applyProtection="1">
      <alignment vertical="center" wrapText="1"/>
    </xf>
    <xf numFmtId="0" fontId="19" fillId="0" borderId="12" xfId="6" applyFont="1" applyFill="1" applyBorder="1" applyAlignment="1" applyProtection="1">
      <alignment horizontal="left" vertical="center" wrapText="1"/>
    </xf>
    <xf numFmtId="0" fontId="19" fillId="0" borderId="0" xfId="6" applyFont="1" applyFill="1" applyAlignment="1" applyProtection="1"/>
    <xf numFmtId="0" fontId="19" fillId="0" borderId="0" xfId="0" applyFont="1" applyFill="1" applyAlignment="1" applyProtection="1"/>
    <xf numFmtId="0" fontId="19" fillId="0" borderId="12" xfId="6" applyFont="1" applyFill="1" applyBorder="1" applyAlignment="1" applyProtection="1">
      <alignment wrapText="1"/>
    </xf>
    <xf numFmtId="3" fontId="16" fillId="18" borderId="12" xfId="6" applyNumberFormat="1" applyFont="1" applyFill="1" applyBorder="1" applyAlignment="1" applyProtection="1">
      <alignment horizontal="left" wrapText="1"/>
    </xf>
    <xf numFmtId="0" fontId="19" fillId="18" borderId="56" xfId="0" applyFont="1" applyFill="1" applyBorder="1" applyAlignment="1" applyProtection="1">
      <alignment horizontal="left" wrapText="1"/>
    </xf>
    <xf numFmtId="0" fontId="19" fillId="5" borderId="12" xfId="6" applyFont="1" applyFill="1" applyBorder="1" applyAlignment="1" applyProtection="1">
      <alignment vertical="center" wrapText="1"/>
    </xf>
    <xf numFmtId="0" fontId="19" fillId="0" borderId="56" xfId="0" applyFont="1" applyBorder="1" applyAlignment="1" applyProtection="1"/>
    <xf numFmtId="0" fontId="19" fillId="5" borderId="12" xfId="6" applyFont="1" applyFill="1" applyBorder="1" applyAlignment="1" applyProtection="1">
      <alignment wrapText="1"/>
    </xf>
    <xf numFmtId="0" fontId="19" fillId="0" borderId="12" xfId="6" applyFont="1" applyBorder="1" applyAlignment="1" applyProtection="1">
      <alignment vertical="center" wrapText="1"/>
    </xf>
    <xf numFmtId="0" fontId="19" fillId="0" borderId="12" xfId="6" applyFont="1" applyBorder="1" applyAlignment="1" applyProtection="1">
      <alignment wrapText="1"/>
    </xf>
    <xf numFmtId="0" fontId="19" fillId="0" borderId="0" xfId="6" applyFont="1" applyAlignment="1" applyProtection="1">
      <alignment wrapText="1"/>
    </xf>
    <xf numFmtId="0" fontId="19" fillId="0" borderId="12" xfId="6" applyFont="1" applyBorder="1" applyAlignment="1" applyProtection="1">
      <alignment horizontal="left" vertical="center" wrapText="1"/>
    </xf>
    <xf numFmtId="3" fontId="19" fillId="0" borderId="12" xfId="6" applyNumberFormat="1" applyFont="1" applyBorder="1" applyAlignment="1" applyProtection="1">
      <alignment vertical="center" wrapText="1"/>
    </xf>
    <xf numFmtId="3" fontId="19" fillId="0" borderId="12" xfId="6" applyNumberFormat="1" applyFont="1" applyBorder="1" applyAlignment="1" applyProtection="1">
      <alignment horizontal="left" vertical="center" wrapText="1"/>
    </xf>
    <xf numFmtId="0" fontId="19" fillId="5" borderId="181" xfId="13" applyFont="1" applyFill="1" applyBorder="1" applyAlignment="1" applyProtection="1">
      <alignment horizontal="center" vertical="center" wrapText="1"/>
    </xf>
    <xf numFmtId="0" fontId="19" fillId="0" borderId="182" xfId="0" applyFont="1" applyBorder="1" applyAlignment="1" applyProtection="1">
      <alignment vertical="center" wrapText="1"/>
    </xf>
    <xf numFmtId="0" fontId="19" fillId="5" borderId="178" xfId="13" applyFont="1" applyFill="1" applyBorder="1" applyAlignment="1" applyProtection="1">
      <alignment horizontal="center" vertical="center" wrapText="1"/>
    </xf>
    <xf numFmtId="0" fontId="19" fillId="0" borderId="179" xfId="0" applyFont="1" applyBorder="1" applyAlignment="1" applyProtection="1">
      <alignment horizontal="center" vertical="center" wrapText="1"/>
    </xf>
    <xf numFmtId="0" fontId="70" fillId="0" borderId="0" xfId="13" applyFont="1" applyFill="1" applyBorder="1" applyAlignment="1" applyProtection="1">
      <alignment horizontal="left" wrapText="1"/>
    </xf>
    <xf numFmtId="0" fontId="62" fillId="0" borderId="0" xfId="0" applyFont="1" applyBorder="1" applyAlignment="1" applyProtection="1">
      <alignment horizontal="left" wrapText="1"/>
    </xf>
    <xf numFmtId="0" fontId="19" fillId="5" borderId="145" xfId="13" applyFont="1" applyFill="1" applyBorder="1" applyAlignment="1" applyProtection="1">
      <alignment horizontal="center" vertical="center" wrapText="1"/>
    </xf>
    <xf numFmtId="0" fontId="19" fillId="5" borderId="141" xfId="13" applyFont="1" applyFill="1" applyBorder="1" applyAlignment="1" applyProtection="1">
      <alignment horizontal="center" vertical="center" wrapText="1"/>
    </xf>
    <xf numFmtId="0" fontId="16" fillId="5" borderId="60" xfId="13" applyFont="1" applyFill="1" applyBorder="1" applyAlignment="1" applyProtection="1">
      <alignment horizontal="center" vertical="center" wrapText="1"/>
    </xf>
    <xf numFmtId="0" fontId="16" fillId="5" borderId="115" xfId="13" applyFont="1" applyFill="1" applyBorder="1" applyAlignment="1" applyProtection="1">
      <alignment horizontal="center" vertical="center" wrapText="1"/>
    </xf>
    <xf numFmtId="0" fontId="16" fillId="5" borderId="116" xfId="13" applyFont="1" applyFill="1" applyBorder="1" applyAlignment="1" applyProtection="1">
      <alignment horizontal="center" vertical="center" wrapText="1"/>
    </xf>
    <xf numFmtId="0" fontId="16" fillId="5" borderId="123" xfId="13" applyFont="1" applyFill="1" applyBorder="1" applyAlignment="1" applyProtection="1">
      <alignment horizontal="center" vertical="center" wrapText="1"/>
    </xf>
    <xf numFmtId="0" fontId="16" fillId="5" borderId="131" xfId="13" applyFont="1" applyFill="1" applyBorder="1" applyAlignment="1" applyProtection="1">
      <alignment horizontal="center" vertical="center" wrapText="1"/>
    </xf>
    <xf numFmtId="0" fontId="19" fillId="5" borderId="172" xfId="13" applyFont="1" applyFill="1" applyBorder="1" applyAlignment="1" applyProtection="1">
      <alignment horizontal="center" vertical="center" wrapText="1"/>
    </xf>
    <xf numFmtId="0" fontId="19" fillId="5" borderId="186" xfId="13" applyFont="1" applyFill="1" applyBorder="1" applyAlignment="1" applyProtection="1">
      <alignment horizontal="center" vertical="center" wrapText="1"/>
    </xf>
    <xf numFmtId="0" fontId="19" fillId="0" borderId="141" xfId="0" applyFont="1" applyBorder="1" applyAlignment="1" applyProtection="1">
      <alignment horizontal="center" vertical="center" wrapText="1"/>
    </xf>
    <xf numFmtId="0" fontId="0" fillId="0" borderId="144" xfId="0" applyBorder="1" applyAlignment="1" applyProtection="1">
      <alignment horizontal="center" vertical="center" wrapText="1"/>
    </xf>
    <xf numFmtId="0" fontId="19" fillId="0" borderId="64" xfId="6" applyFont="1" applyBorder="1" applyAlignment="1" applyProtection="1">
      <alignment horizontal="left" wrapText="1"/>
    </xf>
    <xf numFmtId="0" fontId="19" fillId="0" borderId="65" xfId="6" applyFont="1" applyBorder="1" applyAlignment="1" applyProtection="1">
      <alignment horizontal="left" wrapText="1"/>
    </xf>
    <xf numFmtId="0" fontId="19" fillId="0" borderId="37" xfId="6" applyFont="1" applyBorder="1" applyAlignment="1" applyProtection="1">
      <alignment horizontal="left" wrapText="1"/>
    </xf>
    <xf numFmtId="0" fontId="19" fillId="5" borderId="187" xfId="13" applyFont="1" applyFill="1" applyBorder="1" applyAlignment="1" applyProtection="1">
      <alignment horizontal="center" vertical="center" wrapText="1"/>
    </xf>
    <xf numFmtId="0" fontId="19" fillId="0" borderId="188" xfId="0" applyFont="1" applyBorder="1" applyAlignment="1" applyProtection="1">
      <alignment horizontal="center" vertical="center" wrapText="1"/>
    </xf>
    <xf numFmtId="0" fontId="19" fillId="5" borderId="132" xfId="13" applyFont="1" applyFill="1" applyBorder="1" applyAlignment="1" applyProtection="1">
      <alignment horizontal="center" vertical="center" wrapText="1"/>
    </xf>
    <xf numFmtId="0" fontId="19" fillId="5" borderId="0" xfId="13" applyFont="1" applyFill="1" applyBorder="1" applyAlignment="1" applyProtection="1">
      <alignment horizontal="center" vertical="center" wrapText="1"/>
    </xf>
    <xf numFmtId="0" fontId="19" fillId="0" borderId="59" xfId="0" applyFont="1" applyBorder="1" applyAlignment="1" applyProtection="1">
      <alignment horizontal="center" vertical="center" wrapText="1"/>
    </xf>
    <xf numFmtId="0" fontId="34" fillId="0" borderId="0" xfId="0" applyFont="1" applyBorder="1" applyAlignment="1" applyProtection="1">
      <alignment wrapText="1"/>
    </xf>
    <xf numFmtId="0" fontId="19" fillId="5" borderId="184" xfId="13" applyFont="1" applyFill="1" applyBorder="1" applyAlignment="1" applyProtection="1">
      <alignment horizontal="center" vertical="center" wrapText="1"/>
    </xf>
    <xf numFmtId="3" fontId="19" fillId="0" borderId="17" xfId="6" applyNumberFormat="1" applyFont="1" applyBorder="1" applyAlignment="1" applyProtection="1">
      <alignment horizontal="left" vertical="center" wrapText="1"/>
    </xf>
    <xf numFmtId="0" fontId="19" fillId="0" borderId="21" xfId="0" applyFont="1" applyBorder="1" applyAlignment="1" applyProtection="1"/>
    <xf numFmtId="0" fontId="16" fillId="5" borderId="171" xfId="13" applyFont="1" applyFill="1" applyBorder="1" applyAlignment="1" applyProtection="1">
      <alignment horizontal="center" vertical="center"/>
    </xf>
    <xf numFmtId="0" fontId="16" fillId="5" borderId="172" xfId="13" applyFont="1" applyFill="1" applyBorder="1" applyAlignment="1" applyProtection="1">
      <alignment horizontal="center" vertical="center"/>
    </xf>
    <xf numFmtId="0" fontId="16" fillId="5" borderId="155" xfId="13" applyFont="1" applyFill="1" applyBorder="1" applyAlignment="1" applyProtection="1">
      <alignment horizontal="center" vertical="center"/>
    </xf>
    <xf numFmtId="0" fontId="16" fillId="5" borderId="186" xfId="13" applyFont="1" applyFill="1" applyBorder="1" applyAlignment="1" applyProtection="1">
      <alignment horizontal="center" vertical="center"/>
    </xf>
    <xf numFmtId="0" fontId="16" fillId="5" borderId="145" xfId="13" applyFont="1" applyFill="1" applyBorder="1" applyAlignment="1" applyProtection="1">
      <alignment horizontal="center" vertical="center"/>
    </xf>
    <xf numFmtId="0" fontId="16" fillId="5" borderId="141" xfId="13" applyFont="1" applyFill="1" applyBorder="1" applyAlignment="1" applyProtection="1">
      <alignment horizontal="center" vertical="center"/>
    </xf>
    <xf numFmtId="0" fontId="16" fillId="0" borderId="19" xfId="0" applyFont="1" applyBorder="1" applyAlignment="1" applyProtection="1">
      <alignment horizontal="center" vertical="center" textRotation="255"/>
    </xf>
    <xf numFmtId="0" fontId="16" fillId="0" borderId="0" xfId="0" applyFont="1" applyBorder="1" applyAlignment="1" applyProtection="1">
      <alignment horizontal="center" vertical="center" textRotation="255"/>
    </xf>
    <xf numFmtId="0" fontId="0" fillId="0" borderId="25" xfId="0" applyBorder="1" applyAlignment="1" applyProtection="1">
      <alignment horizontal="center" vertical="center" textRotation="255"/>
    </xf>
    <xf numFmtId="0" fontId="16" fillId="0" borderId="27" xfId="0" applyFont="1" applyBorder="1" applyAlignment="1" applyProtection="1">
      <alignment horizontal="center" vertical="center" textRotation="255"/>
    </xf>
    <xf numFmtId="0" fontId="0" fillId="0" borderId="90" xfId="0" applyBorder="1" applyAlignment="1"/>
    <xf numFmtId="0" fontId="0" fillId="0" borderId="38" xfId="0" applyBorder="1" applyAlignment="1"/>
    <xf numFmtId="0" fontId="19" fillId="0" borderId="64" xfId="0" applyFont="1" applyBorder="1" applyAlignment="1" applyProtection="1">
      <alignment horizontal="left" vertical="center" wrapText="1"/>
    </xf>
    <xf numFmtId="0" fontId="0" fillId="0" borderId="0" xfId="0" applyFont="1" applyAlignment="1" applyProtection="1">
      <alignment horizontal="justify" wrapText="1"/>
    </xf>
    <xf numFmtId="0" fontId="8" fillId="12" borderId="24" xfId="0" applyFont="1" applyFill="1" applyBorder="1" applyAlignment="1" applyProtection="1">
      <alignment horizontal="center" vertical="center" wrapText="1"/>
    </xf>
    <xf numFmtId="0" fontId="34" fillId="12" borderId="24" xfId="0" applyFont="1" applyFill="1" applyBorder="1" applyAlignment="1" applyProtection="1">
      <alignment horizontal="center" vertical="center" wrapText="1"/>
    </xf>
    <xf numFmtId="0" fontId="34" fillId="0" borderId="144" xfId="0" applyFont="1" applyBorder="1" applyAlignment="1" applyProtection="1">
      <alignment vertical="center"/>
    </xf>
    <xf numFmtId="0" fontId="19" fillId="12" borderId="64" xfId="6" applyFont="1" applyFill="1" applyBorder="1" applyAlignment="1" applyProtection="1">
      <alignment horizontal="left" vertical="center" wrapText="1"/>
    </xf>
    <xf numFmtId="0" fontId="19" fillId="12" borderId="65" xfId="6" applyFont="1" applyFill="1" applyBorder="1" applyAlignment="1" applyProtection="1">
      <alignment horizontal="left" vertical="center" wrapText="1"/>
    </xf>
    <xf numFmtId="0" fontId="19" fillId="12" borderId="37" xfId="6" applyFont="1" applyFill="1" applyBorder="1" applyAlignment="1" applyProtection="1">
      <alignment horizontal="left" vertical="center" wrapText="1"/>
    </xf>
    <xf numFmtId="0" fontId="8" fillId="12" borderId="144" xfId="0" applyFont="1" applyFill="1" applyBorder="1" applyAlignment="1" applyProtection="1">
      <alignment horizontal="center" vertical="center" wrapText="1"/>
    </xf>
    <xf numFmtId="0" fontId="34" fillId="12" borderId="144" xfId="0" applyFont="1" applyFill="1" applyBorder="1" applyAlignment="1" applyProtection="1">
      <alignment vertical="center"/>
    </xf>
    <xf numFmtId="0" fontId="0" fillId="12" borderId="144" xfId="0" applyFill="1" applyBorder="1" applyAlignment="1" applyProtection="1">
      <alignment vertical="center"/>
    </xf>
    <xf numFmtId="0" fontId="24" fillId="0" borderId="0" xfId="0" applyFont="1" applyAlignment="1">
      <alignment horizontal="justify" wrapText="1"/>
    </xf>
    <xf numFmtId="0" fontId="0" fillId="0" borderId="111" xfId="0" applyFill="1" applyBorder="1" applyAlignment="1" applyProtection="1">
      <alignment horizontal="center" wrapText="1"/>
    </xf>
    <xf numFmtId="0" fontId="34" fillId="0" borderId="85" xfId="0" applyFont="1" applyFill="1" applyBorder="1" applyAlignment="1" applyProtection="1">
      <alignment horizontal="center" wrapText="1"/>
    </xf>
    <xf numFmtId="0" fontId="19" fillId="0" borderId="111" xfId="0" applyFont="1" applyFill="1" applyBorder="1" applyAlignment="1" applyProtection="1">
      <alignment vertical="center" wrapText="1"/>
    </xf>
    <xf numFmtId="0" fontId="19" fillId="0" borderId="189" xfId="0" applyFont="1" applyFill="1" applyBorder="1" applyAlignment="1" applyProtection="1">
      <alignment vertical="center" wrapText="1"/>
    </xf>
    <xf numFmtId="0" fontId="0" fillId="0" borderId="64" xfId="0" applyFill="1" applyBorder="1" applyAlignment="1" applyProtection="1">
      <alignment horizontal="center" vertical="center" wrapText="1"/>
    </xf>
    <xf numFmtId="0" fontId="34" fillId="0" borderId="37" xfId="0" applyFont="1" applyFill="1" applyBorder="1" applyAlignment="1" applyProtection="1">
      <alignment horizontal="center" vertical="center" wrapText="1"/>
    </xf>
    <xf numFmtId="0" fontId="8" fillId="0" borderId="144" xfId="0" applyFont="1" applyFill="1" applyBorder="1" applyAlignment="1" applyProtection="1">
      <alignment horizontal="center" vertical="center" wrapText="1"/>
    </xf>
    <xf numFmtId="0" fontId="0" fillId="0" borderId="144" xfId="0" applyBorder="1" applyAlignment="1">
      <alignment horizontal="center" vertical="center" wrapText="1"/>
    </xf>
    <xf numFmtId="0" fontId="55" fillId="0" borderId="132" xfId="0" applyFont="1" applyBorder="1" applyAlignment="1" applyProtection="1">
      <alignment horizontal="justify" wrapText="1"/>
    </xf>
    <xf numFmtId="0" fontId="0" fillId="0" borderId="132" xfId="0" applyBorder="1" applyAlignment="1">
      <alignment horizontal="justify"/>
    </xf>
    <xf numFmtId="0" fontId="0" fillId="0" borderId="0" xfId="0" applyAlignment="1">
      <alignment horizontal="left" wrapText="1"/>
    </xf>
    <xf numFmtId="0" fontId="19" fillId="0" borderId="10" xfId="0" applyFont="1" applyFill="1" applyBorder="1" applyAlignment="1" applyProtection="1">
      <alignment vertical="center" wrapText="1"/>
    </xf>
    <xf numFmtId="0" fontId="0" fillId="0" borderId="10" xfId="0" applyFill="1" applyBorder="1" applyAlignment="1" applyProtection="1">
      <alignment horizontal="center" wrapText="1"/>
    </xf>
    <xf numFmtId="0" fontId="34" fillId="0" borderId="10" xfId="0" applyFont="1" applyFill="1" applyBorder="1" applyAlignment="1" applyProtection="1">
      <alignment horizontal="center" wrapText="1"/>
    </xf>
    <xf numFmtId="0" fontId="87" fillId="0" borderId="0" xfId="20" applyFont="1" applyBorder="1" applyAlignment="1" applyProtection="1">
      <alignment horizontal="justify" wrapText="1"/>
    </xf>
    <xf numFmtId="0" fontId="83" fillId="0" borderId="0" xfId="20" applyFont="1" applyBorder="1" applyAlignment="1" applyProtection="1">
      <alignment horizontal="justify" vertical="top" wrapText="1" readingOrder="1"/>
    </xf>
    <xf numFmtId="0" fontId="84" fillId="0" borderId="0" xfId="20" applyFont="1" applyBorder="1" applyAlignment="1" applyProtection="1">
      <alignment horizontal="justify" vertical="top" wrapText="1" readingOrder="1"/>
    </xf>
    <xf numFmtId="0" fontId="86" fillId="0" borderId="0" xfId="20" applyFont="1" applyBorder="1" applyAlignment="1" applyProtection="1">
      <alignment horizontal="justify" vertical="top" wrapText="1" readingOrder="1"/>
    </xf>
    <xf numFmtId="0" fontId="83" fillId="0" borderId="24" xfId="20" applyFont="1" applyBorder="1" applyAlignment="1" applyProtection="1">
      <alignment horizontal="left" vertical="center" wrapText="1"/>
    </xf>
    <xf numFmtId="0" fontId="84" fillId="0" borderId="0" xfId="20" applyFont="1" applyBorder="1" applyAlignment="1" applyProtection="1"/>
    <xf numFmtId="0" fontId="86" fillId="0" borderId="0" xfId="20" applyFont="1" applyBorder="1" applyAlignment="1" applyProtection="1">
      <alignment horizontal="left" wrapText="1" indent="1"/>
    </xf>
    <xf numFmtId="0" fontId="93" fillId="0" borderId="0" xfId="20" applyFont="1" applyBorder="1" applyAlignment="1" applyProtection="1">
      <alignment horizontal="left" wrapText="1"/>
    </xf>
    <xf numFmtId="0" fontId="115" fillId="0" borderId="0" xfId="20" applyFont="1" applyBorder="1" applyAlignment="1" applyProtection="1">
      <alignment wrapText="1"/>
    </xf>
    <xf numFmtId="0" fontId="83" fillId="0" borderId="24" xfId="20" applyFont="1" applyBorder="1" applyAlignment="1" applyProtection="1">
      <alignment horizontal="center" vertical="center" wrapText="1"/>
    </xf>
    <xf numFmtId="0" fontId="93" fillId="0" borderId="0" xfId="20" applyFont="1" applyBorder="1" applyAlignment="1" applyProtection="1">
      <alignment horizontal="justify" wrapText="1"/>
    </xf>
    <xf numFmtId="0" fontId="93" fillId="0" borderId="0" xfId="20" applyFont="1" applyBorder="1" applyAlignment="1" applyProtection="1">
      <alignment horizontal="left" wrapText="1" indent="5"/>
    </xf>
    <xf numFmtId="0" fontId="80" fillId="0" borderId="112" xfId="12" applyFont="1" applyBorder="1" applyAlignment="1" applyProtection="1">
      <alignment horizontal="center" vertical="center"/>
    </xf>
    <xf numFmtId="0" fontId="80" fillId="0" borderId="88" xfId="0" applyFont="1" applyBorder="1" applyAlignment="1" applyProtection="1">
      <alignment horizontal="center" vertical="center"/>
    </xf>
    <xf numFmtId="0" fontId="80" fillId="0" borderId="91" xfId="0" applyFont="1" applyBorder="1" applyAlignment="1" applyProtection="1">
      <alignment horizontal="center" vertical="center"/>
    </xf>
    <xf numFmtId="0" fontId="16" fillId="0" borderId="24" xfId="12" applyFont="1" applyFill="1" applyBorder="1" applyAlignment="1" applyProtection="1">
      <alignment horizontal="center" vertical="center" wrapText="1"/>
    </xf>
    <xf numFmtId="0" fontId="30" fillId="0" borderId="0" xfId="12" applyFont="1" applyAlignment="1" applyProtection="1">
      <alignment wrapText="1"/>
    </xf>
    <xf numFmtId="0" fontId="16" fillId="0" borderId="64" xfId="11" applyFont="1" applyBorder="1" applyAlignment="1" applyProtection="1">
      <alignment horizontal="center" vertical="center"/>
    </xf>
    <xf numFmtId="0" fontId="16" fillId="0" borderId="37" xfId="11" applyFont="1" applyBorder="1" applyAlignment="1" applyProtection="1">
      <alignment horizontal="center" vertical="center"/>
    </xf>
    <xf numFmtId="0" fontId="16" fillId="0" borderId="27" xfId="13" applyFont="1" applyBorder="1" applyAlignment="1" applyProtection="1">
      <alignment horizontal="center" vertical="center"/>
    </xf>
    <xf numFmtId="0" fontId="16" fillId="0" borderId="38" xfId="13" applyFont="1" applyBorder="1" applyAlignment="1" applyProtection="1">
      <alignment horizontal="center" vertical="center"/>
    </xf>
    <xf numFmtId="0" fontId="16" fillId="0" borderId="64" xfId="12" applyFont="1" applyBorder="1" applyAlignment="1" applyProtection="1">
      <alignment horizontal="center"/>
    </xf>
    <xf numFmtId="0" fontId="0" fillId="0" borderId="37" xfId="0" applyBorder="1" applyAlignment="1">
      <alignment horizontal="center"/>
    </xf>
    <xf numFmtId="0" fontId="16" fillId="0" borderId="112" xfId="12" applyFont="1" applyBorder="1" applyAlignment="1" applyProtection="1">
      <alignment horizontal="center" vertical="center" wrapText="1"/>
    </xf>
    <xf numFmtId="0" fontId="16" fillId="0" borderId="121" xfId="12" applyFont="1" applyBorder="1" applyAlignment="1" applyProtection="1">
      <alignment horizontal="center" vertical="center" wrapText="1"/>
    </xf>
    <xf numFmtId="0" fontId="16" fillId="0" borderId="113" xfId="12" applyFont="1" applyBorder="1" applyAlignment="1" applyProtection="1">
      <alignment horizontal="center" vertical="center" wrapText="1"/>
    </xf>
    <xf numFmtId="0" fontId="16" fillId="0" borderId="112" xfId="12" applyFont="1" applyBorder="1" applyAlignment="1" applyProtection="1">
      <alignment horizontal="center" wrapText="1"/>
    </xf>
    <xf numFmtId="0" fontId="16" fillId="0" borderId="121" xfId="12" applyFont="1" applyBorder="1" applyAlignment="1" applyProtection="1">
      <alignment horizontal="center"/>
    </xf>
    <xf numFmtId="0" fontId="16" fillId="0" borderId="113" xfId="12" applyFont="1" applyBorder="1" applyAlignment="1" applyProtection="1">
      <alignment horizontal="center"/>
    </xf>
    <xf numFmtId="0" fontId="16" fillId="0" borderId="24" xfId="12" applyFont="1" applyBorder="1" applyAlignment="1" applyProtection="1">
      <alignment horizontal="center" vertical="center" wrapText="1"/>
    </xf>
    <xf numFmtId="0" fontId="16" fillId="0" borderId="144" xfId="12" applyFont="1" applyFill="1" applyBorder="1" applyAlignment="1" applyProtection="1">
      <alignment horizontal="center" vertical="center" wrapText="1"/>
    </xf>
    <xf numFmtId="0" fontId="80" fillId="0" borderId="27" xfId="12" applyFont="1" applyBorder="1" applyAlignment="1" applyProtection="1">
      <alignment horizontal="center" vertical="center"/>
    </xf>
    <xf numFmtId="0" fontId="80" fillId="0" borderId="90" xfId="0" applyFont="1" applyBorder="1" applyAlignment="1" applyProtection="1">
      <alignment horizontal="center" vertical="center"/>
    </xf>
    <xf numFmtId="0" fontId="80" fillId="0" borderId="38" xfId="0" applyFont="1" applyBorder="1" applyAlignment="1" applyProtection="1">
      <alignment horizontal="center" vertical="center"/>
    </xf>
    <xf numFmtId="0" fontId="19" fillId="0" borderId="24" xfId="0" applyFont="1" applyBorder="1" applyAlignment="1" applyProtection="1">
      <alignment horizontal="center" vertical="center" wrapText="1"/>
    </xf>
    <xf numFmtId="0" fontId="30" fillId="0" borderId="0" xfId="13" quotePrefix="1" applyFont="1" applyFill="1" applyBorder="1" applyAlignment="1" applyProtection="1">
      <alignment horizontal="left" wrapText="1" indent="1"/>
    </xf>
    <xf numFmtId="0" fontId="34" fillId="0" borderId="0" xfId="0" applyFont="1" applyAlignment="1" applyProtection="1">
      <alignment horizontal="left" wrapText="1" indent="1"/>
    </xf>
    <xf numFmtId="0" fontId="16" fillId="0" borderId="144" xfId="12" applyFont="1" applyBorder="1" applyAlignment="1" applyProtection="1">
      <alignment horizontal="center" vertical="center" wrapText="1"/>
    </xf>
    <xf numFmtId="0" fontId="70" fillId="0" borderId="0" xfId="13" applyFont="1" applyBorder="1" applyAlignment="1" applyProtection="1">
      <alignment wrapText="1"/>
    </xf>
    <xf numFmtId="3" fontId="19" fillId="18" borderId="24" xfId="11" applyNumberFormat="1" applyFont="1" applyFill="1" applyBorder="1" applyAlignment="1" applyProtection="1">
      <alignment horizontal="center" vertical="center"/>
    </xf>
    <xf numFmtId="3" fontId="19" fillId="0" borderId="24" xfId="11" applyNumberFormat="1" applyFont="1" applyBorder="1" applyAlignment="1" applyProtection="1">
      <alignment horizontal="center" vertical="center"/>
      <protection locked="0"/>
    </xf>
    <xf numFmtId="3" fontId="19" fillId="0" borderId="37" xfId="11" applyNumberFormat="1" applyFont="1" applyBorder="1" applyAlignment="1" applyProtection="1">
      <alignment horizontal="center" vertical="center"/>
      <protection locked="0"/>
    </xf>
    <xf numFmtId="3" fontId="19" fillId="0" borderId="64" xfId="11" applyNumberFormat="1" applyFont="1" applyFill="1" applyBorder="1" applyAlignment="1" applyProtection="1">
      <alignment horizontal="center"/>
      <protection locked="0"/>
    </xf>
    <xf numFmtId="3" fontId="19" fillId="0" borderId="37" xfId="11" applyNumberFormat="1" applyFont="1" applyFill="1" applyBorder="1" applyAlignment="1" applyProtection="1">
      <alignment horizontal="center"/>
      <protection locked="0"/>
    </xf>
    <xf numFmtId="3" fontId="34" fillId="0" borderId="37" xfId="0" applyNumberFormat="1" applyFont="1" applyBorder="1" applyAlignment="1" applyProtection="1">
      <alignment horizontal="center"/>
      <protection locked="0"/>
    </xf>
    <xf numFmtId="0" fontId="16" fillId="0" borderId="65" xfId="11" applyFont="1" applyBorder="1" applyAlignment="1" applyProtection="1">
      <alignment horizontal="center" vertical="center" wrapText="1"/>
    </xf>
    <xf numFmtId="0" fontId="16" fillId="0" borderId="112" xfId="11" applyFont="1" applyFill="1" applyBorder="1" applyAlignment="1" applyProtection="1">
      <alignment horizontal="center" vertical="center"/>
    </xf>
    <xf numFmtId="0" fontId="16" fillId="0" borderId="113" xfId="11" applyFont="1" applyFill="1" applyBorder="1" applyAlignment="1" applyProtection="1">
      <alignment horizontal="center" vertical="center"/>
    </xf>
    <xf numFmtId="3" fontId="34" fillId="0" borderId="37" xfId="0" applyNumberFormat="1" applyFont="1" applyBorder="1" applyAlignment="1" applyProtection="1">
      <alignment horizontal="center" vertical="center"/>
      <protection locked="0"/>
    </xf>
    <xf numFmtId="3" fontId="19" fillId="12" borderId="190" xfId="11" applyNumberFormat="1" applyFont="1" applyFill="1" applyBorder="1" applyAlignment="1" applyProtection="1">
      <alignment horizontal="center" vertical="center"/>
      <protection locked="0"/>
    </xf>
    <xf numFmtId="0" fontId="16" fillId="0" borderId="24" xfId="11" applyFont="1" applyFill="1" applyBorder="1" applyAlignment="1" applyProtection="1">
      <alignment horizontal="center" vertical="center" wrapText="1"/>
    </xf>
    <xf numFmtId="0" fontId="16" fillId="0" borderId="27" xfId="11" applyFont="1" applyFill="1" applyBorder="1" applyAlignment="1" applyProtection="1">
      <alignment horizontal="center" vertical="center" wrapText="1"/>
    </xf>
    <xf numFmtId="0" fontId="16" fillId="0" borderId="15" xfId="11" applyFont="1" applyBorder="1" applyAlignment="1" applyProtection="1">
      <alignment horizontal="center" vertical="center" wrapText="1"/>
    </xf>
    <xf numFmtId="0" fontId="16" fillId="0" borderId="28" xfId="11" applyFont="1" applyBorder="1" applyAlignment="1" applyProtection="1">
      <alignment horizontal="center" vertical="center" wrapText="1"/>
    </xf>
    <xf numFmtId="0" fontId="16" fillId="0" borderId="64" xfId="11" applyFont="1" applyFill="1" applyBorder="1" applyAlignment="1" applyProtection="1">
      <alignment horizontal="center" vertical="center" wrapText="1"/>
    </xf>
    <xf numFmtId="0" fontId="16" fillId="0" borderId="65" xfId="11" applyFont="1" applyFill="1" applyBorder="1" applyAlignment="1" applyProtection="1">
      <alignment horizontal="center" vertical="center" wrapText="1"/>
    </xf>
    <xf numFmtId="0" fontId="16" fillId="0" borderId="37" xfId="11" applyFont="1" applyFill="1" applyBorder="1" applyAlignment="1" applyProtection="1">
      <alignment horizontal="center" vertical="center" wrapText="1"/>
    </xf>
    <xf numFmtId="0" fontId="16" fillId="0" borderId="16" xfId="11" applyFont="1" applyBorder="1" applyAlignment="1" applyProtection="1">
      <alignment horizontal="center" vertical="center" wrapText="1"/>
    </xf>
    <xf numFmtId="0" fontId="16" fillId="0" borderId="14" xfId="11" applyFont="1" applyBorder="1" applyAlignment="1" applyProtection="1">
      <alignment horizontal="center" vertical="center" wrapText="1"/>
    </xf>
    <xf numFmtId="0" fontId="16" fillId="0" borderId="85" xfId="11" applyFont="1" applyFill="1" applyBorder="1" applyAlignment="1" applyProtection="1">
      <alignment horizontal="center" vertical="center" wrapText="1"/>
    </xf>
    <xf numFmtId="0" fontId="16" fillId="0" borderId="191" xfId="11" applyFont="1" applyFill="1" applyBorder="1" applyAlignment="1" applyProtection="1">
      <alignment horizontal="center" vertical="center" wrapText="1"/>
    </xf>
    <xf numFmtId="0" fontId="19" fillId="0" borderId="55" xfId="0" applyFont="1" applyBorder="1" applyAlignment="1" applyProtection="1">
      <alignment horizontal="justify" vertical="center" wrapText="1"/>
    </xf>
    <xf numFmtId="0" fontId="19" fillId="0" borderId="19" xfId="0" applyFont="1" applyBorder="1" applyAlignment="1" applyProtection="1">
      <alignment horizontal="justify" vertical="center" wrapText="1"/>
    </xf>
    <xf numFmtId="0" fontId="19" fillId="0" borderId="28" xfId="0" applyFont="1" applyBorder="1" applyAlignment="1" applyProtection="1">
      <alignment horizontal="justify" vertical="center" wrapText="1"/>
    </xf>
    <xf numFmtId="0" fontId="19" fillId="0" borderId="8" xfId="0" applyFont="1" applyBorder="1" applyAlignment="1" applyProtection="1">
      <alignment horizontal="justify" vertical="center" wrapText="1"/>
    </xf>
    <xf numFmtId="0" fontId="19" fillId="0" borderId="0" xfId="0" applyFont="1" applyBorder="1" applyAlignment="1" applyProtection="1">
      <alignment horizontal="justify" vertical="center" wrapText="1"/>
    </xf>
    <xf numFmtId="0" fontId="19" fillId="0" borderId="15" xfId="0" applyFont="1" applyBorder="1" applyAlignment="1" applyProtection="1">
      <alignment horizontal="justify" vertical="center" wrapText="1"/>
    </xf>
    <xf numFmtId="0" fontId="19" fillId="0" borderId="17" xfId="0" applyFont="1" applyBorder="1" applyAlignment="1" applyProtection="1">
      <alignment horizontal="justify" vertical="center" wrapText="1"/>
    </xf>
    <xf numFmtId="0" fontId="19" fillId="0" borderId="11" xfId="0" applyFont="1" applyBorder="1" applyAlignment="1" applyProtection="1">
      <alignment horizontal="justify" vertical="center" wrapText="1"/>
    </xf>
    <xf numFmtId="0" fontId="19" fillId="0" borderId="21" xfId="0" applyFont="1" applyBorder="1" applyAlignment="1" applyProtection="1">
      <alignment horizontal="justify" vertical="center" wrapText="1"/>
    </xf>
    <xf numFmtId="0" fontId="40" fillId="0" borderId="0" xfId="0" applyFont="1" applyBorder="1" applyAlignment="1" applyProtection="1">
      <alignment horizontal="left" vertical="center" wrapText="1"/>
    </xf>
    <xf numFmtId="0" fontId="49" fillId="0" borderId="0" xfId="0" applyFont="1" applyBorder="1" applyAlignment="1" applyProtection="1">
      <alignment horizontal="left" vertical="center" wrapText="1"/>
    </xf>
    <xf numFmtId="0" fontId="16" fillId="0" borderId="12" xfId="0" applyFont="1" applyFill="1" applyBorder="1" applyAlignment="1" applyProtection="1">
      <alignment horizontal="center" vertical="center" wrapText="1"/>
    </xf>
    <xf numFmtId="0" fontId="16" fillId="0" borderId="24" xfId="0" applyFont="1" applyFill="1" applyBorder="1" applyAlignment="1" applyProtection="1">
      <alignment horizontal="center" vertical="center" wrapText="1"/>
    </xf>
    <xf numFmtId="0" fontId="16" fillId="0" borderId="28" xfId="0" applyFont="1" applyBorder="1" applyAlignment="1" applyProtection="1">
      <alignment horizontal="center" vertical="center"/>
    </xf>
    <xf numFmtId="0" fontId="34" fillId="0" borderId="21" xfId="0" applyFont="1" applyBorder="1" applyAlignment="1" applyProtection="1">
      <alignment horizontal="center" vertical="center"/>
    </xf>
    <xf numFmtId="0" fontId="16" fillId="0" borderId="9" xfId="0" applyFont="1" applyBorder="1" applyAlignment="1" applyProtection="1">
      <alignment horizontal="center" vertical="center"/>
    </xf>
    <xf numFmtId="0" fontId="19" fillId="0" borderId="0" xfId="0" applyFont="1" applyFill="1" applyBorder="1" applyAlignment="1" applyProtection="1">
      <alignment horizontal="justify" vertical="center" wrapText="1"/>
    </xf>
    <xf numFmtId="0" fontId="19" fillId="0" borderId="0" xfId="0" applyFont="1" applyFill="1" applyAlignment="1" applyProtection="1">
      <alignment horizontal="justify"/>
    </xf>
    <xf numFmtId="0" fontId="19" fillId="0" borderId="0" xfId="0" applyFont="1" applyBorder="1" applyAlignment="1" applyProtection="1">
      <alignment horizontal="justify" wrapText="1"/>
    </xf>
    <xf numFmtId="0" fontId="19" fillId="0" borderId="0" xfId="0" applyFont="1" applyAlignment="1" applyProtection="1"/>
    <xf numFmtId="0" fontId="70" fillId="0" borderId="0" xfId="13" applyFont="1" applyFill="1" applyBorder="1" applyAlignment="1" applyProtection="1">
      <alignment horizontal="justify" wrapText="1"/>
    </xf>
    <xf numFmtId="0" fontId="30" fillId="0" borderId="0" xfId="0" applyFont="1" applyAlignment="1" applyProtection="1">
      <alignment horizontal="justify" wrapText="1"/>
    </xf>
    <xf numFmtId="164" fontId="16" fillId="0" borderId="9" xfId="4" applyFont="1" applyFill="1" applyBorder="1" applyAlignment="1" applyProtection="1">
      <alignment horizontal="center"/>
    </xf>
    <xf numFmtId="0" fontId="8" fillId="0" borderId="0" xfId="0" applyFont="1" applyAlignment="1" applyProtection="1">
      <alignment wrapText="1"/>
    </xf>
    <xf numFmtId="0" fontId="83" fillId="0" borderId="0" xfId="20" applyFont="1" applyBorder="1" applyAlignment="1">
      <alignment horizontal="left" vertical="top" wrapText="1" indent="1"/>
    </xf>
    <xf numFmtId="0" fontId="83" fillId="0" borderId="0" xfId="20" applyFont="1" applyBorder="1" applyAlignment="1">
      <alignment horizontal="left" wrapText="1" indent="1"/>
    </xf>
    <xf numFmtId="0" fontId="34" fillId="0" borderId="0" xfId="20" applyFont="1" applyBorder="1" applyAlignment="1">
      <alignment horizontal="left" vertical="top" wrapText="1" indent="1"/>
    </xf>
    <xf numFmtId="0" fontId="84" fillId="0" borderId="0" xfId="20" applyFont="1" applyBorder="1" applyAlignment="1">
      <alignment vertical="top" wrapText="1"/>
    </xf>
    <xf numFmtId="0" fontId="121" fillId="0" borderId="0" xfId="20" applyFont="1" applyBorder="1" applyAlignment="1">
      <alignment vertical="top" wrapText="1"/>
    </xf>
    <xf numFmtId="0" fontId="120" fillId="0" borderId="0" xfId="20" applyFont="1" applyBorder="1" applyAlignment="1">
      <alignment vertical="top" wrapText="1"/>
    </xf>
    <xf numFmtId="0" fontId="34" fillId="0" borderId="0" xfId="20" quotePrefix="1" applyFont="1" applyBorder="1" applyAlignment="1">
      <alignment horizontal="left" vertical="top" wrapText="1" indent="1"/>
    </xf>
    <xf numFmtId="0" fontId="84" fillId="0" borderId="0" xfId="20" applyFont="1" applyBorder="1" applyAlignment="1">
      <alignment wrapText="1"/>
    </xf>
    <xf numFmtId="0" fontId="34" fillId="0" borderId="0" xfId="20" applyFont="1" applyBorder="1" applyAlignment="1">
      <alignment wrapText="1"/>
    </xf>
    <xf numFmtId="0" fontId="30" fillId="0" borderId="27" xfId="0" applyFont="1" applyBorder="1" applyAlignment="1" applyProtection="1">
      <alignment vertical="center"/>
    </xf>
    <xf numFmtId="0" fontId="24" fillId="0" borderId="38" xfId="0" applyFont="1" applyBorder="1" applyAlignment="1" applyProtection="1">
      <alignment vertical="center"/>
    </xf>
    <xf numFmtId="0" fontId="20" fillId="0" borderId="27" xfId="0" applyFont="1" applyBorder="1" applyAlignment="1" applyProtection="1">
      <alignment horizontal="left" vertical="center" wrapText="1"/>
    </xf>
    <xf numFmtId="0" fontId="20" fillId="0" borderId="38" xfId="0" applyFont="1" applyBorder="1" applyAlignment="1" applyProtection="1">
      <alignment horizontal="left" vertical="center" wrapText="1"/>
    </xf>
    <xf numFmtId="0" fontId="0" fillId="0" borderId="38" xfId="0" applyFont="1" applyBorder="1" applyAlignment="1" applyProtection="1">
      <alignment horizontal="left" vertical="center" wrapText="1"/>
    </xf>
    <xf numFmtId="0" fontId="16" fillId="0" borderId="64" xfId="0" applyFont="1" applyBorder="1" applyAlignment="1" applyProtection="1">
      <alignment horizontal="center" vertical="top" wrapText="1"/>
    </xf>
    <xf numFmtId="0" fontId="0" fillId="0" borderId="37" xfId="0" applyBorder="1" applyAlignment="1" applyProtection="1">
      <alignment horizontal="center" vertical="top" wrapText="1"/>
    </xf>
    <xf numFmtId="0" fontId="16" fillId="0" borderId="37" xfId="0" applyFont="1" applyBorder="1" applyAlignment="1" applyProtection="1">
      <alignment horizontal="center" vertical="top" wrapText="1"/>
    </xf>
    <xf numFmtId="0" fontId="50" fillId="0" borderId="0" xfId="16" applyFont="1" applyFill="1" applyBorder="1" applyAlignment="1" applyProtection="1">
      <alignment horizontal="left" wrapText="1"/>
    </xf>
    <xf numFmtId="0" fontId="0" fillId="0" borderId="0" xfId="0" applyAlignment="1">
      <alignment horizontal="left" vertical="center" wrapText="1"/>
    </xf>
    <xf numFmtId="0" fontId="83" fillId="0" borderId="0" xfId="20" applyFont="1" applyAlignment="1" applyProtection="1">
      <alignment wrapText="1"/>
    </xf>
    <xf numFmtId="0" fontId="83" fillId="0" borderId="0" xfId="20" applyFont="1" applyAlignment="1" applyProtection="1">
      <alignment horizontal="justify" wrapText="1"/>
    </xf>
    <xf numFmtId="0" fontId="83" fillId="0" borderId="0" xfId="20" applyFont="1" applyBorder="1" applyAlignment="1" applyProtection="1">
      <alignment horizontal="justify" vertical="center" wrapText="1"/>
    </xf>
    <xf numFmtId="0" fontId="84" fillId="0" borderId="0" xfId="20" applyFont="1" applyBorder="1" applyAlignment="1" applyProtection="1">
      <alignment vertical="top" wrapText="1"/>
    </xf>
    <xf numFmtId="49" fontId="19" fillId="0" borderId="14" xfId="0" applyNumberFormat="1" applyFont="1" applyBorder="1" applyAlignment="1" applyProtection="1">
      <alignment horizontal="justify" vertical="top" wrapText="1"/>
      <protection locked="0"/>
    </xf>
    <xf numFmtId="49" fontId="0" fillId="0" borderId="16" xfId="0" applyNumberFormat="1" applyBorder="1" applyAlignment="1" applyProtection="1">
      <alignment horizontal="justify" vertical="top" wrapText="1"/>
      <protection locked="0"/>
    </xf>
    <xf numFmtId="49" fontId="0" fillId="0" borderId="18" xfId="0" applyNumberFormat="1" applyBorder="1" applyAlignment="1" applyProtection="1">
      <alignment horizontal="justify" vertical="top" wrapText="1"/>
      <protection locked="0"/>
    </xf>
    <xf numFmtId="0" fontId="16" fillId="0" borderId="192" xfId="0" applyFont="1" applyBorder="1" applyAlignment="1" applyProtection="1">
      <alignment horizontal="center" wrapText="1"/>
    </xf>
    <xf numFmtId="0" fontId="16" fillId="0" borderId="0" xfId="0" applyFont="1" applyFill="1" applyBorder="1" applyAlignment="1" applyProtection="1">
      <alignment horizontal="left"/>
    </xf>
    <xf numFmtId="0" fontId="19" fillId="0" borderId="0" xfId="0" applyFont="1" applyFill="1" applyBorder="1" applyAlignment="1" applyProtection="1">
      <alignment horizontal="justify" wrapText="1"/>
    </xf>
    <xf numFmtId="0" fontId="0" fillId="0" borderId="0" xfId="0" applyAlignment="1" applyProtection="1">
      <alignment horizontal="justify"/>
    </xf>
    <xf numFmtId="0" fontId="48" fillId="12" borderId="0" xfId="13" applyFont="1" applyFill="1" applyAlignment="1" applyProtection="1">
      <alignment horizontal="justify" wrapText="1"/>
    </xf>
    <xf numFmtId="0" fontId="48" fillId="12" borderId="144" xfId="13" applyFont="1" applyFill="1" applyBorder="1" applyAlignment="1" applyProtection="1">
      <alignment horizontal="center"/>
    </xf>
    <xf numFmtId="0" fontId="24" fillId="12" borderId="0" xfId="0" applyFont="1" applyFill="1" applyBorder="1" applyAlignment="1" applyProtection="1">
      <alignment horizontal="justify" vertical="center" wrapText="1"/>
    </xf>
    <xf numFmtId="0" fontId="0" fillId="12" borderId="0" xfId="0" applyFont="1" applyFill="1" applyBorder="1" applyAlignment="1" applyProtection="1">
      <alignment horizontal="justify" wrapText="1"/>
    </xf>
    <xf numFmtId="0" fontId="19" fillId="0" borderId="0" xfId="0" applyFont="1" applyBorder="1" applyAlignment="1" applyProtection="1">
      <alignment horizontal="justify" vertical="center"/>
    </xf>
    <xf numFmtId="0" fontId="0" fillId="0" borderId="0" xfId="0" applyAlignment="1">
      <alignment horizontal="justify" vertical="center"/>
    </xf>
  </cellXfs>
  <cellStyles count="62">
    <cellStyle name="20 % - Accent1 2 4" xfId="26"/>
    <cellStyle name="20 % - Accent1 2 4 2" xfId="34"/>
    <cellStyle name="20 % - Accent1 2 4 2 2" xfId="57"/>
    <cellStyle name="20 % - Accent1 2 4 3" xfId="51"/>
    <cellStyle name="kCACHE" xfId="1"/>
    <cellStyle name="Lien hypertexte" xfId="2" builtinId="8"/>
    <cellStyle name="Lien hypertexte 2" xfId="3"/>
    <cellStyle name="Milliers 2" xfId="30"/>
    <cellStyle name="Milliers 5 4" xfId="25"/>
    <cellStyle name="Milliers 5 4 2" xfId="33"/>
    <cellStyle name="Milliers 5 4 2 2" xfId="56"/>
    <cellStyle name="Milliers 5 4 3" xfId="50"/>
    <cellStyle name="Monétaire_quest_bs_2007" xfId="4"/>
    <cellStyle name="Normal" xfId="0" builtinId="0"/>
    <cellStyle name="Normal 10 4" xfId="27"/>
    <cellStyle name="Normal 10 4 2" xfId="35"/>
    <cellStyle name="Normal 10 4 2 2" xfId="58"/>
    <cellStyle name="Normal 10 4 3" xfId="52"/>
    <cellStyle name="Normal 2" xfId="5"/>
    <cellStyle name="Normal 2 10" xfId="39"/>
    <cellStyle name="Normal 2 2" xfId="6"/>
    <cellStyle name="Normal 2 2 2" xfId="24"/>
    <cellStyle name="Normal 2 3" xfId="7"/>
    <cellStyle name="Normal 2 3 2" xfId="8"/>
    <cellStyle name="Normal 2 3 2 2" xfId="44"/>
    <cellStyle name="Normal 2 3 3" xfId="43"/>
    <cellStyle name="Normal 2 3_Bilan_social 2019_12-01-old" xfId="9"/>
    <cellStyle name="Normal 2 4" xfId="42"/>
    <cellStyle name="Normal 2 5" xfId="45"/>
    <cellStyle name="Normal 2 6" xfId="41"/>
    <cellStyle name="Normal 2 7" xfId="40"/>
    <cellStyle name="Normal 2 8" xfId="61"/>
    <cellStyle name="Normal 2 9" xfId="54"/>
    <cellStyle name="Normal 2_Bilan_social 2019_12-01-old" xfId="10"/>
    <cellStyle name="Normal 3" xfId="11"/>
    <cellStyle name="Normal 4" xfId="12"/>
    <cellStyle name="Normal 5" xfId="13"/>
    <cellStyle name="Normal 5 2" xfId="14"/>
    <cellStyle name="Normal 5 2 2" xfId="47"/>
    <cellStyle name="Normal 5 3" xfId="28"/>
    <cellStyle name="Normal 5 3 2" xfId="29"/>
    <cellStyle name="Normal 5 3 3" xfId="36"/>
    <cellStyle name="Normal 5 3 3 2" xfId="59"/>
    <cellStyle name="Normal 5 3 4" xfId="53"/>
    <cellStyle name="Normal 5 4" xfId="38"/>
    <cellStyle name="Normal 5 5" xfId="46"/>
    <cellStyle name="Normal 5_Bilan_social 2019_12-01-old" xfId="15"/>
    <cellStyle name="Normal 5_Bilan_social 2019_7-02" xfId="16"/>
    <cellStyle name="Normal 6" xfId="17"/>
    <cellStyle name="Normal 6 2" xfId="18"/>
    <cellStyle name="Normal 6 2 2" xfId="49"/>
    <cellStyle name="Normal 6 3" xfId="48"/>
    <cellStyle name="Normal 6_Bilan_social 2019_12-01-old" xfId="19"/>
    <cellStyle name="Normal 7" xfId="20"/>
    <cellStyle name="Normal_IND 2.2.1-2.2.3" xfId="21"/>
    <cellStyle name="Pourcentage" xfId="32" builtinId="5"/>
    <cellStyle name="Pourcentage 2" xfId="22"/>
    <cellStyle name="Pourcentage 6 4" xfId="31"/>
    <cellStyle name="Pourcentage 6 4 2" xfId="37"/>
    <cellStyle name="Pourcentage 6 4 2 2" xfId="60"/>
    <cellStyle name="Pourcentage 6 4 3" xfId="55"/>
    <cellStyle name="Retour sommaire" xfId="23"/>
  </cellStyles>
  <dxfs count="3">
    <dxf>
      <fill>
        <patternFill>
          <bgColor theme="0"/>
        </patternFill>
      </fill>
    </dxf>
    <dxf>
      <fill>
        <patternFill>
          <bgColor theme="0"/>
        </patternFill>
      </fill>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9D9D9"/>
      <rgbColor rgb="000000FF"/>
      <rgbColor rgb="00B9CD96"/>
      <rgbColor rgb="00CA7E7D"/>
      <rgbColor rgb="0000FFFF"/>
      <rgbColor rgb="00800000"/>
      <rgbColor rgb="00008000"/>
      <rgbColor rgb="00000080"/>
      <rgbColor rgb="0089A54E"/>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A99BBD"/>
      <rgbColor rgb="00DFDFDF"/>
      <rgbColor rgb="004198AF"/>
      <rgbColor rgb="00C0504D"/>
      <rgbColor rgb="00DB843D"/>
      <rgbColor rgb="004572A7"/>
      <rgbColor rgb="000000FF"/>
      <rgbColor rgb="0000CCFF"/>
      <rgbColor rgb="00EFEFEF"/>
      <rgbColor rgb="00CCFFCC"/>
      <rgbColor rgb="00E0E0E0"/>
      <rgbColor rgb="0093A9CF"/>
      <rgbColor rgb="00FF99CC"/>
      <rgbColor rgb="00CC99FF"/>
      <rgbColor rgb="00FFCC99"/>
      <rgbColor rgb="003366FF"/>
      <rgbColor rgb="004BACC6"/>
      <rgbColor rgb="009BBB59"/>
      <rgbColor rgb="00F9B590"/>
      <rgbColor rgb="00FF9900"/>
      <rgbColor rgb="00FF6600"/>
      <rgbColor rgb="0071588F"/>
      <rgbColor rgb="00969696"/>
      <rgbColor rgb="004F81BD"/>
      <rgbColor rgb="00339966"/>
      <rgbColor rgb="00DDB6B5"/>
      <rgbColor rgb="00333300"/>
      <rgbColor rgb="00993300"/>
      <rgbColor rgb="00AA4643"/>
      <rgbColor rgb="008064A2"/>
      <rgbColor rgb="00333333"/>
    </indexedColors>
  </colors>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externalLink" Target="externalLinks/externalLink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0.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lang val="fr-FR"/>
  <c:style val="26"/>
  <c:chart>
    <c:plotArea>
      <c:layout>
        <c:manualLayout>
          <c:layoutTarget val="inner"/>
          <c:xMode val="edge"/>
          <c:yMode val="edge"/>
          <c:x val="0.15731939462438324"/>
          <c:y val="0.30253103266132558"/>
          <c:w val="0.2680660068678079"/>
          <c:h val="0.61641241054921869"/>
        </c:manualLayout>
      </c:layout>
      <c:pieChart>
        <c:varyColors val="1"/>
        <c:ser>
          <c:idx val="0"/>
          <c:order val="0"/>
          <c:spPr>
            <a:ln w="19050">
              <a:solidFill>
                <a:schemeClr val="bg1"/>
              </a:solidFill>
            </a:ln>
            <a:effectLst/>
            <a:scene3d>
              <a:camera prst="orthographicFront"/>
              <a:lightRig rig="threePt" dir="t"/>
            </a:scene3d>
            <a:sp3d/>
          </c:spPr>
          <c:dPt>
            <c:idx val="0"/>
            <c:spPr>
              <a:solidFill>
                <a:srgbClr val="4BACC6"/>
              </a:solidFill>
              <a:ln w="12700">
                <a:solidFill>
                  <a:srgbClr val="FFFFFF"/>
                </a:solidFill>
                <a:prstDash val="solid"/>
              </a:ln>
              <a:effectLst/>
              <a:scene3d>
                <a:camera prst="orthographicFront"/>
                <a:lightRig rig="threePt" dir="t">
                  <a:rot lat="0" lon="0" rev="1200000"/>
                </a:lightRig>
              </a:scene3d>
              <a:sp3d/>
            </c:spPr>
            <c:extLst xmlns:c16r2="http://schemas.microsoft.com/office/drawing/2015/06/chart">
              <c:ext xmlns:c16="http://schemas.microsoft.com/office/drawing/2014/chart" uri="{C3380CC4-5D6E-409C-BE32-E72D297353CC}">
                <c16:uniqueId val="{00000001-3AC2-4647-9932-4284BA26AAD3}"/>
              </c:ext>
            </c:extLst>
          </c:dPt>
          <c:dPt>
            <c:idx val="1"/>
            <c:spPr>
              <a:solidFill>
                <a:srgbClr val="FFC000"/>
              </a:solidFill>
              <a:ln w="12700">
                <a:solidFill>
                  <a:srgbClr val="FFFFFF"/>
                </a:solidFill>
                <a:prstDash val="solid"/>
              </a:ln>
              <a:effectLst/>
              <a:scene3d>
                <a:camera prst="orthographicFront"/>
                <a:lightRig rig="threePt" dir="t">
                  <a:rot lat="0" lon="0" rev="1200000"/>
                </a:lightRig>
              </a:scene3d>
              <a:sp3d/>
            </c:spPr>
            <c:extLst xmlns:c16r2="http://schemas.microsoft.com/office/drawing/2015/06/chart">
              <c:ext xmlns:c16="http://schemas.microsoft.com/office/drawing/2014/chart" uri="{C3380CC4-5D6E-409C-BE32-E72D297353CC}">
                <c16:uniqueId val="{00000003-3AC2-4647-9932-4284BA26AAD3}"/>
              </c:ext>
            </c:extLst>
          </c:dPt>
          <c:dPt>
            <c:idx val="2"/>
            <c:spPr>
              <a:solidFill>
                <a:srgbClr val="9BBB59"/>
              </a:solidFill>
              <a:ln w="12700">
                <a:solidFill>
                  <a:srgbClr val="FFFFFF"/>
                </a:solidFill>
                <a:prstDash val="solid"/>
              </a:ln>
              <a:effectLst/>
              <a:scene3d>
                <a:camera prst="orthographicFront"/>
                <a:lightRig rig="threePt" dir="t">
                  <a:rot lat="0" lon="0" rev="1200000"/>
                </a:lightRig>
              </a:scene3d>
              <a:sp3d/>
            </c:spPr>
            <c:extLst xmlns:c16r2="http://schemas.microsoft.com/office/drawing/2015/06/chart">
              <c:ext xmlns:c16="http://schemas.microsoft.com/office/drawing/2014/chart" uri="{C3380CC4-5D6E-409C-BE32-E72D297353CC}">
                <c16:uniqueId val="{00000005-3AC2-4647-9932-4284BA26AAD3}"/>
              </c:ext>
            </c:extLst>
          </c:dPt>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fr-FR"/>
              </a:p>
            </c:txPr>
            <c:showPercent val="1"/>
            <c:extLst xmlns:c16r2="http://schemas.microsoft.com/office/drawing/2015/06/chart">
              <c:ext xmlns:c15="http://schemas.microsoft.com/office/drawing/2012/chart" uri="{CE6537A1-D6FC-4f65-9D91-7224C49458BB}">
                <c15:layout/>
              </c:ext>
            </c:extLst>
          </c:dLbls>
          <c:cat>
            <c:strRef>
              <c:f>synthese!$D$20:$D$22</c:f>
              <c:strCache>
                <c:ptCount val="3"/>
                <c:pt idx="0">
                  <c:v>fonctionnaires</c:v>
                </c:pt>
                <c:pt idx="1">
                  <c:v>contractuels permanents</c:v>
                </c:pt>
                <c:pt idx="2">
                  <c:v>contractuels non permanents</c:v>
                </c:pt>
              </c:strCache>
              <c:extLst xmlns:c16r2="http://schemas.microsoft.com/office/drawing/2015/06/chart">
                <c:ext xmlns:c15="http://schemas.microsoft.com/office/drawing/2012/chart" uri="{02D57815-91ED-43cb-92C2-25804820EDAC}">
                  <c15:fullRef>
                    <c15:sqref>synthese!$D$20:$D$25</c15:sqref>
                  </c15:fullRef>
                </c:ext>
              </c:extLst>
            </c:strRef>
          </c:cat>
          <c:val>
            <c:numRef>
              <c:f>synthese!$B$20:$B$22</c:f>
              <c:numCache>
                <c:formatCode>"&gt; "#,##0</c:formatCode>
                <c:ptCount val="3"/>
                <c:pt idx="0">
                  <c:v>4836</c:v>
                </c:pt>
                <c:pt idx="1">
                  <c:v>899</c:v>
                </c:pt>
                <c:pt idx="2">
                  <c:v>1674</c:v>
                </c:pt>
              </c:numCache>
              <c:extLst xmlns:c16r2="http://schemas.microsoft.com/office/drawing/2015/06/chart">
                <c:ext xmlns:c15="http://schemas.microsoft.com/office/drawing/2012/chart" uri="{02D57815-91ED-43cb-92C2-25804820EDAC}">
                  <c15:fullRef>
                    <c15:sqref>synthese!$B$20:$B$25</c15:sqref>
                  </c15:fullRef>
                </c:ext>
              </c:extLst>
            </c:numRef>
          </c:val>
          <c:extLst xmlns:c16r2="http://schemas.microsoft.com/office/drawing/2015/06/chart">
            <c:ext xmlns:c16="http://schemas.microsoft.com/office/drawing/2014/chart" uri="{C3380CC4-5D6E-409C-BE32-E72D297353CC}">
              <c16:uniqueId val="{00000006-3AC2-4647-9932-4284BA26AAD3}"/>
            </c:ext>
          </c:extLst>
        </c:ser>
        <c:firstSliceAng val="0"/>
      </c:pieChart>
      <c:spPr>
        <a:noFill/>
        <a:ln w="25400">
          <a:noFill/>
        </a:ln>
      </c:spPr>
    </c:plotArea>
    <c:legend>
      <c:legendPos val="r"/>
      <c:layout>
        <c:manualLayout>
          <c:xMode val="edge"/>
          <c:yMode val="edge"/>
          <c:x val="0.48813775869476095"/>
          <c:y val="0.4297158955139414"/>
          <c:w val="0.4999941204959239"/>
          <c:h val="0.47542516664583839"/>
        </c:manualLayout>
      </c:layout>
      <c:txPr>
        <a:bodyPr/>
        <a:lstStyle/>
        <a:p>
          <a:pPr>
            <a:defRPr sz="1000" b="0" i="0" u="none" strike="noStrike" baseline="0">
              <a:solidFill>
                <a:srgbClr val="000000"/>
              </a:solidFill>
              <a:latin typeface="Calibri"/>
              <a:ea typeface="Calibri"/>
              <a:cs typeface="Calibri"/>
            </a:defRPr>
          </a:pPr>
          <a:endParaRPr lang="fr-FR"/>
        </a:p>
      </c:txPr>
    </c:legend>
    <c:plotVisOnly val="1"/>
    <c:dispBlanksAs val="zero"/>
  </c:chart>
  <c:spPr>
    <a:noFill/>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fr-FR"/>
  <c:chart>
    <c:autoTitleDeleted val="1"/>
    <c:plotArea>
      <c:layout>
        <c:manualLayout>
          <c:layoutTarget val="inner"/>
          <c:xMode val="edge"/>
          <c:yMode val="edge"/>
          <c:x val="0.10224948875255624"/>
          <c:y val="0.11711711711711707"/>
          <c:w val="0.86094069529652395"/>
          <c:h val="0.58492445201106613"/>
        </c:manualLayout>
      </c:layout>
      <c:barChart>
        <c:barDir val="col"/>
        <c:grouping val="clustered"/>
        <c:ser>
          <c:idx val="0"/>
          <c:order val="0"/>
          <c:tx>
            <c:strRef>
              <c:f>synthese!$AS$68</c:f>
              <c:strCache>
                <c:ptCount val="1"/>
                <c:pt idx="0">
                  <c:v>Fonctionnaires</c:v>
                </c:pt>
              </c:strCache>
            </c:strRef>
          </c:tx>
          <c:spPr>
            <a:solidFill>
              <a:schemeClr val="accent5"/>
            </a:solidFill>
            <a:ln>
              <a:noFill/>
            </a:ln>
            <a:effectLst/>
          </c:spPr>
          <c:dLbls>
            <c:dLbl>
              <c:idx val="0"/>
              <c:tx>
                <c:strRef>
                  <c:f>synthese!$AS$69</c:f>
                  <c:strCache>
                    <c:ptCount val="1"/>
                    <c:pt idx="0">
                      <c:v>22%</c:v>
                    </c:pt>
                  </c:strCache>
                </c:strRef>
              </c:tx>
              <c:dLblPos val="outEnd"/>
              <c:showVal val="1"/>
              <c:extLst xmlns:c16r2="http://schemas.microsoft.com/office/drawing/2015/06/chart">
                <c:ext xmlns:c15="http://schemas.microsoft.com/office/drawing/2012/chart" uri="{CE6537A1-D6FC-4f65-9D91-7224C49458BB}">
                  <c15:layout/>
                  <c15:dlblFieldTable>
                    <c15:dlblFTEntry>
                      <c15:txfldGUID>{DC48B414-1CF3-4228-8EDC-3EFF7D24AF92}</c15:txfldGUID>
                      <c15:f>synthese!$AS$69</c15:f>
                      <c15:dlblFieldTableCache>
                        <c:ptCount val="1"/>
                        <c:pt idx="0">
                          <c:v>22%</c:v>
                        </c:pt>
                      </c15:dlblFieldTableCache>
                    </c15:dlblFTEntry>
                  </c15:dlblFieldTable>
                  <c15:showDataLabelsRange val="0"/>
                </c:ext>
                <c:ext xmlns:c16="http://schemas.microsoft.com/office/drawing/2014/chart" uri="{C3380CC4-5D6E-409C-BE32-E72D297353CC}">
                  <c16:uniqueId val="{00000000-89C9-451C-AF39-0B07916A9E6E}"/>
                </c:ext>
              </c:extLst>
            </c:dLbl>
            <c:dLbl>
              <c:idx val="1"/>
              <c:tx>
                <c:strRef>
                  <c:f>synthese!$AS$70</c:f>
                  <c:strCache>
                    <c:ptCount val="1"/>
                    <c:pt idx="0">
                      <c:v>21%</c:v>
                    </c:pt>
                  </c:strCache>
                </c:strRef>
              </c:tx>
              <c:dLblPos val="outEnd"/>
              <c:showVal val="1"/>
              <c:extLst xmlns:c16r2="http://schemas.microsoft.com/office/drawing/2015/06/chart">
                <c:ext xmlns:c15="http://schemas.microsoft.com/office/drawing/2012/chart" uri="{CE6537A1-D6FC-4f65-9D91-7224C49458BB}">
                  <c15:layout/>
                  <c15:dlblFieldTable>
                    <c15:dlblFTEntry>
                      <c15:txfldGUID>{8AFBF07F-8C15-4316-84C6-93C49C0F44CD}</c15:txfldGUID>
                      <c15:f>synthese!$AS$70</c15:f>
                      <c15:dlblFieldTableCache>
                        <c:ptCount val="1"/>
                        <c:pt idx="0">
                          <c:v>21%</c:v>
                        </c:pt>
                      </c15:dlblFieldTableCache>
                    </c15:dlblFTEntry>
                  </c15:dlblFieldTable>
                  <c15:showDataLabelsRange val="0"/>
                </c:ext>
                <c:ext xmlns:c16="http://schemas.microsoft.com/office/drawing/2014/chart" uri="{C3380CC4-5D6E-409C-BE32-E72D297353CC}">
                  <c16:uniqueId val="{00000001-89C9-451C-AF39-0B07916A9E6E}"/>
                </c:ext>
              </c:extLst>
            </c:dLbl>
            <c:dLbl>
              <c:idx val="2"/>
              <c:tx>
                <c:strRef>
                  <c:f>synthese!$AS$71</c:f>
                  <c:strCache>
                    <c:ptCount val="1"/>
                    <c:pt idx="0">
                      <c:v>17%</c:v>
                    </c:pt>
                  </c:strCache>
                </c:strRef>
              </c:tx>
              <c:dLblPos val="outEnd"/>
              <c:showVal val="1"/>
              <c:extLst xmlns:c16r2="http://schemas.microsoft.com/office/drawing/2015/06/chart">
                <c:ext xmlns:c15="http://schemas.microsoft.com/office/drawing/2012/chart" uri="{CE6537A1-D6FC-4f65-9D91-7224C49458BB}">
                  <c15:layout/>
                  <c15:dlblFieldTable>
                    <c15:dlblFTEntry>
                      <c15:txfldGUID>{F349A751-C9F9-46F0-B289-F40DE2813F9E}</c15:txfldGUID>
                      <c15:f>synthese!$AS$71</c15:f>
                      <c15:dlblFieldTableCache>
                        <c:ptCount val="1"/>
                        <c:pt idx="0">
                          <c:v>17%</c:v>
                        </c:pt>
                      </c15:dlblFieldTableCache>
                    </c15:dlblFTEntry>
                  </c15:dlblFieldTable>
                  <c15:showDataLabelsRange val="0"/>
                </c:ext>
                <c:ext xmlns:c16="http://schemas.microsoft.com/office/drawing/2014/chart" uri="{C3380CC4-5D6E-409C-BE32-E72D297353CC}">
                  <c16:uniqueId val="{00000002-89C9-451C-AF39-0B07916A9E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Val val="1"/>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synthese!$AL$69:$AM$71</c:f>
              <c:strCache>
                <c:ptCount val="3"/>
                <c:pt idx="0">
                  <c:v>Catégorie A</c:v>
                </c:pt>
                <c:pt idx="1">
                  <c:v>Catégorie B</c:v>
                </c:pt>
                <c:pt idx="2">
                  <c:v>Catégorie C</c:v>
                </c:pt>
              </c:strCache>
            </c:strRef>
          </c:cat>
          <c:val>
            <c:numRef>
              <c:f>synthese!$AS$69:$AS$71</c:f>
              <c:numCache>
                <c:formatCode>0%</c:formatCode>
                <c:ptCount val="3"/>
                <c:pt idx="0">
                  <c:v>0.22313329569282464</c:v>
                </c:pt>
                <c:pt idx="1">
                  <c:v>0.21022971298385781</c:v>
                </c:pt>
                <c:pt idx="2">
                  <c:v>0.17454471528530399</c:v>
                </c:pt>
              </c:numCache>
            </c:numRef>
          </c:val>
          <c:extLst xmlns:c16r2="http://schemas.microsoft.com/office/drawing/2015/06/chart">
            <c:ext xmlns:c16="http://schemas.microsoft.com/office/drawing/2014/chart" uri="{C3380CC4-5D6E-409C-BE32-E72D297353CC}">
              <c16:uniqueId val="{00000003-89C9-451C-AF39-0B07916A9E6E}"/>
            </c:ext>
          </c:extLst>
        </c:ser>
        <c:ser>
          <c:idx val="1"/>
          <c:order val="1"/>
          <c:tx>
            <c:strRef>
              <c:f>synthese!$AT$68</c:f>
              <c:strCache>
                <c:ptCount val="1"/>
                <c:pt idx="0">
                  <c:v>Contractuels</c:v>
                </c:pt>
              </c:strCache>
            </c:strRef>
          </c:tx>
          <c:spPr>
            <a:solidFill>
              <a:srgbClr val="FFC000"/>
            </a:solidFill>
            <a:ln>
              <a:noFill/>
            </a:ln>
            <a:effectLst/>
          </c:spPr>
          <c:dLbls>
            <c:dLbl>
              <c:idx val="0"/>
              <c:tx>
                <c:strRef>
                  <c:f>synthese!$AT$69</c:f>
                  <c:strCache>
                    <c:ptCount val="1"/>
                    <c:pt idx="0">
                      <c:v>32%</c:v>
                    </c:pt>
                  </c:strCache>
                </c:strRef>
              </c:tx>
              <c:dLblPos val="outEnd"/>
              <c:showVal val="1"/>
              <c:extLst xmlns:c16r2="http://schemas.microsoft.com/office/drawing/2015/06/chart">
                <c:ext xmlns:c15="http://schemas.microsoft.com/office/drawing/2012/chart" uri="{CE6537A1-D6FC-4f65-9D91-7224C49458BB}">
                  <c15:layout/>
                  <c15:dlblFieldTable>
                    <c15:dlblFTEntry>
                      <c15:txfldGUID>{E29BB55A-5D04-4094-9602-1A4C94D48432}</c15:txfldGUID>
                      <c15:f>synthese!$AT$69</c15:f>
                      <c15:dlblFieldTableCache>
                        <c:ptCount val="1"/>
                        <c:pt idx="0">
                          <c:v>32%</c:v>
                        </c:pt>
                      </c15:dlblFieldTableCache>
                    </c15:dlblFTEntry>
                  </c15:dlblFieldTable>
                  <c15:showDataLabelsRange val="0"/>
                </c:ext>
                <c:ext xmlns:c16="http://schemas.microsoft.com/office/drawing/2014/chart" uri="{C3380CC4-5D6E-409C-BE32-E72D297353CC}">
                  <c16:uniqueId val="{00000004-89C9-451C-AF39-0B07916A9E6E}"/>
                </c:ext>
              </c:extLst>
            </c:dLbl>
            <c:dLbl>
              <c:idx val="1"/>
              <c:tx>
                <c:strRef>
                  <c:f>synthese!$AT$70</c:f>
                  <c:strCache>
                    <c:ptCount val="1"/>
                    <c:pt idx="0">
                      <c:v>20%</c:v>
                    </c:pt>
                  </c:strCache>
                </c:strRef>
              </c:tx>
              <c:dLblPos val="outEnd"/>
              <c:showVal val="1"/>
              <c:extLst xmlns:c16r2="http://schemas.microsoft.com/office/drawing/2015/06/chart">
                <c:ext xmlns:c15="http://schemas.microsoft.com/office/drawing/2012/chart" uri="{CE6537A1-D6FC-4f65-9D91-7224C49458BB}">
                  <c15:layout/>
                  <c15:dlblFieldTable>
                    <c15:dlblFTEntry>
                      <c15:txfldGUID>{075AA8F2-F46D-4F01-906F-0DDE307444D3}</c15:txfldGUID>
                      <c15:f>synthese!$AT$70</c15:f>
                      <c15:dlblFieldTableCache>
                        <c:ptCount val="1"/>
                        <c:pt idx="0">
                          <c:v>20%</c:v>
                        </c:pt>
                      </c15:dlblFieldTableCache>
                    </c15:dlblFTEntry>
                  </c15:dlblFieldTable>
                  <c15:showDataLabelsRange val="0"/>
                </c:ext>
                <c:ext xmlns:c16="http://schemas.microsoft.com/office/drawing/2014/chart" uri="{C3380CC4-5D6E-409C-BE32-E72D297353CC}">
                  <c16:uniqueId val="{00000005-89C9-451C-AF39-0B07916A9E6E}"/>
                </c:ext>
              </c:extLst>
            </c:dLbl>
            <c:dLbl>
              <c:idx val="2"/>
              <c:tx>
                <c:strRef>
                  <c:f>synthese!$AT$71</c:f>
                  <c:strCache>
                    <c:ptCount val="1"/>
                    <c:pt idx="0">
                      <c:v>15%</c:v>
                    </c:pt>
                  </c:strCache>
                </c:strRef>
              </c:tx>
              <c:dLblPos val="outEnd"/>
              <c:showVal val="1"/>
              <c:extLst xmlns:c16r2="http://schemas.microsoft.com/office/drawing/2015/06/chart">
                <c:ext xmlns:c15="http://schemas.microsoft.com/office/drawing/2012/chart" uri="{CE6537A1-D6FC-4f65-9D91-7224C49458BB}">
                  <c15:layout/>
                  <c15:dlblFieldTable>
                    <c15:dlblFTEntry>
                      <c15:txfldGUID>{EE781935-D3E7-4795-9E79-310055287EAC}</c15:txfldGUID>
                      <c15:f>synthese!$AT$71</c15:f>
                      <c15:dlblFieldTableCache>
                        <c:ptCount val="1"/>
                        <c:pt idx="0">
                          <c:v>15%</c:v>
                        </c:pt>
                      </c15:dlblFieldTableCache>
                    </c15:dlblFTEntry>
                  </c15:dlblFieldTable>
                  <c15:showDataLabelsRange val="0"/>
                </c:ext>
                <c:ext xmlns:c16="http://schemas.microsoft.com/office/drawing/2014/chart" uri="{C3380CC4-5D6E-409C-BE32-E72D297353CC}">
                  <c16:uniqueId val="{00000006-89C9-451C-AF39-0B07916A9E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Val val="1"/>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synthese!$AL$69:$AM$71</c:f>
              <c:strCache>
                <c:ptCount val="3"/>
                <c:pt idx="0">
                  <c:v>Catégorie A</c:v>
                </c:pt>
                <c:pt idx="1">
                  <c:v>Catégorie B</c:v>
                </c:pt>
                <c:pt idx="2">
                  <c:v>Catégorie C</c:v>
                </c:pt>
              </c:strCache>
            </c:strRef>
          </c:cat>
          <c:val>
            <c:numRef>
              <c:f>synthese!$AT$69:$AT$71</c:f>
              <c:numCache>
                <c:formatCode>0%</c:formatCode>
                <c:ptCount val="3"/>
                <c:pt idx="0">
                  <c:v>0.31539409263255352</c:v>
                </c:pt>
                <c:pt idx="1">
                  <c:v>0.19599204708195578</c:v>
                </c:pt>
                <c:pt idx="2">
                  <c:v>0.15485725684792886</c:v>
                </c:pt>
              </c:numCache>
            </c:numRef>
          </c:val>
          <c:extLst xmlns:c16r2="http://schemas.microsoft.com/office/drawing/2015/06/chart">
            <c:ext xmlns:c16="http://schemas.microsoft.com/office/drawing/2014/chart" uri="{C3380CC4-5D6E-409C-BE32-E72D297353CC}">
              <c16:uniqueId val="{00000007-89C9-451C-AF39-0B07916A9E6E}"/>
            </c:ext>
          </c:extLst>
        </c:ser>
        <c:dLbls>
          <c:showVal val="1"/>
        </c:dLbls>
        <c:gapWidth val="130"/>
        <c:axId val="297381248"/>
        <c:axId val="297411712"/>
      </c:barChart>
      <c:catAx>
        <c:axId val="297381248"/>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97411712"/>
        <c:crosses val="autoZero"/>
        <c:auto val="1"/>
        <c:lblAlgn val="ctr"/>
        <c:lblOffset val="100"/>
      </c:catAx>
      <c:valAx>
        <c:axId val="297411712"/>
        <c:scaling>
          <c:orientation val="minMax"/>
        </c:scaling>
        <c:delete val="1"/>
        <c:axPos val="l"/>
        <c:numFmt formatCode="0%" sourceLinked="1"/>
        <c:majorTickMark val="none"/>
        <c:tickLblPos val="none"/>
        <c:crossAx val="297381248"/>
        <c:crosses val="autoZero"/>
        <c:crossBetween val="between"/>
      </c:valAx>
      <c:spPr>
        <a:noFill/>
        <a:ln>
          <a:noFill/>
        </a:ln>
        <a:effectLst/>
      </c:spPr>
    </c:plotArea>
    <c:legend>
      <c:legendPos val="b"/>
      <c:layout>
        <c:manualLayout>
          <c:xMode val="edge"/>
          <c:yMode val="edge"/>
          <c:x val="0.20467835692317593"/>
          <c:y val="0.84797190891679119"/>
          <c:w val="0.59064296410801398"/>
          <c:h val="0.1520280910832093"/>
        </c:manualLayout>
      </c:layout>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chart>
  <c:spPr>
    <a:noFill/>
    <a:ln w="9525" cap="flat" cmpd="sng" algn="ctr">
      <a:no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fr-FR"/>
  <c:style val="26"/>
  <c:chart>
    <c:plotArea>
      <c:layout>
        <c:manualLayout>
          <c:layoutTarget val="inner"/>
          <c:xMode val="edge"/>
          <c:yMode val="edge"/>
          <c:x val="0.172655203813809"/>
          <c:y val="0.25438263765416447"/>
          <c:w val="0.32827212034737291"/>
          <c:h val="0.60385859175010559"/>
        </c:manualLayout>
      </c:layout>
      <c:pieChart>
        <c:varyColors val="1"/>
        <c:ser>
          <c:idx val="0"/>
          <c:order val="0"/>
          <c:spPr>
            <a:ln>
              <a:solidFill>
                <a:schemeClr val="bg1"/>
              </a:solidFill>
            </a:ln>
            <a:effectLst/>
            <a:scene3d>
              <a:camera prst="orthographicFront"/>
              <a:lightRig rig="threePt" dir="t">
                <a:rot lat="0" lon="0" rev="1200000"/>
              </a:lightRig>
            </a:scene3d>
            <a:sp3d/>
          </c:spPr>
          <c:dPt>
            <c:idx val="0"/>
            <c:spPr>
              <a:solidFill>
                <a:srgbClr val="C0504D"/>
              </a:solidFill>
              <a:ln w="12700">
                <a:solidFill>
                  <a:srgbClr val="FFFFFF"/>
                </a:solidFill>
                <a:prstDash val="solid"/>
              </a:ln>
              <a:effectLst/>
              <a:scene3d>
                <a:camera prst="orthographicFront"/>
                <a:lightRig rig="threePt" dir="t">
                  <a:rot lat="0" lon="0" rev="1200000"/>
                </a:lightRig>
              </a:scene3d>
              <a:sp3d/>
            </c:spPr>
            <c:extLst xmlns:c16r2="http://schemas.microsoft.com/office/drawing/2015/06/chart">
              <c:ext xmlns:c16="http://schemas.microsoft.com/office/drawing/2014/chart" uri="{C3380CC4-5D6E-409C-BE32-E72D297353CC}">
                <c16:uniqueId val="{00000001-35FA-4091-8511-20EF9B76F61E}"/>
              </c:ext>
            </c:extLst>
          </c:dPt>
          <c:dPt>
            <c:idx val="1"/>
            <c:spPr>
              <a:solidFill>
                <a:srgbClr val="4F81BD"/>
              </a:solidFill>
              <a:ln w="12700">
                <a:solidFill>
                  <a:srgbClr val="FFFFFF"/>
                </a:solidFill>
                <a:prstDash val="solid"/>
              </a:ln>
              <a:effectLst/>
              <a:scene3d>
                <a:camera prst="orthographicFront"/>
                <a:lightRig rig="threePt" dir="t">
                  <a:rot lat="0" lon="0" rev="1200000"/>
                </a:lightRig>
              </a:scene3d>
              <a:sp3d/>
            </c:spPr>
            <c:extLst xmlns:c16r2="http://schemas.microsoft.com/office/drawing/2015/06/chart">
              <c:ext xmlns:c16="http://schemas.microsoft.com/office/drawing/2014/chart" uri="{C3380CC4-5D6E-409C-BE32-E72D297353CC}">
                <c16:uniqueId val="{00000003-35FA-4091-8511-20EF9B76F61E}"/>
              </c:ext>
            </c:extLst>
          </c:dPt>
          <c:dPt>
            <c:idx val="2"/>
            <c:spPr>
              <a:solidFill>
                <a:srgbClr val="9BBB59"/>
              </a:solidFill>
              <a:ln w="12700">
                <a:solidFill>
                  <a:srgbClr val="FFFFFF"/>
                </a:solidFill>
                <a:prstDash val="solid"/>
              </a:ln>
              <a:effectLst/>
              <a:scene3d>
                <a:camera prst="orthographicFront"/>
                <a:lightRig rig="threePt" dir="t">
                  <a:rot lat="0" lon="0" rev="1200000"/>
                </a:lightRig>
              </a:scene3d>
              <a:sp3d/>
            </c:spPr>
            <c:extLst xmlns:c16r2="http://schemas.microsoft.com/office/drawing/2015/06/chart">
              <c:ext xmlns:c16="http://schemas.microsoft.com/office/drawing/2014/chart" uri="{C3380CC4-5D6E-409C-BE32-E72D297353CC}">
                <c16:uniqueId val="{00000005-35FA-4091-8511-20EF9B76F61E}"/>
              </c:ext>
            </c:extLst>
          </c:dPt>
          <c:dLbls>
            <c:numFmt formatCode="0%;\–0%;;@" sourceLinked="0"/>
            <c:spPr>
              <a:noFill/>
              <a:ln w="25400">
                <a:noFill/>
              </a:ln>
            </c:spPr>
            <c:txPr>
              <a:bodyPr wrap="square" lIns="38100" tIns="19050" rIns="38100" bIns="19050" anchor="ctr">
                <a:spAutoFit/>
              </a:bodyPr>
              <a:lstStyle/>
              <a:p>
                <a:pPr>
                  <a:defRPr sz="1050" b="1" i="0" u="none" strike="noStrike" baseline="0">
                    <a:solidFill>
                      <a:srgbClr val="000000"/>
                    </a:solidFill>
                    <a:latin typeface="Calibri"/>
                    <a:ea typeface="Calibri"/>
                    <a:cs typeface="Calibri"/>
                  </a:defRPr>
                </a:pPr>
                <a:endParaRPr lang="fr-FR"/>
              </a:p>
            </c:txPr>
            <c:dLblPos val="bestFit"/>
            <c:showPercent val="1"/>
            <c:showLeaderLines val="1"/>
            <c:extLst xmlns:c16r2="http://schemas.microsoft.com/office/drawing/2015/06/chart">
              <c:ext xmlns:c15="http://schemas.microsoft.com/office/drawing/2012/chart" uri="{CE6537A1-D6FC-4f65-9D91-7224C49458BB}">
                <c15:layout/>
              </c:ext>
            </c:extLst>
          </c:dLbls>
          <c:cat>
            <c:strRef>
              <c:f>synthese!$B$63:$B$65</c:f>
              <c:strCache>
                <c:ptCount val="3"/>
                <c:pt idx="0">
                  <c:v>Catégorie A</c:v>
                </c:pt>
                <c:pt idx="1">
                  <c:v>Catégorie B</c:v>
                </c:pt>
                <c:pt idx="2">
                  <c:v>Catégorie C</c:v>
                </c:pt>
              </c:strCache>
            </c:strRef>
          </c:cat>
          <c:val>
            <c:numRef>
              <c:f>synthese!$D$63:$D$65</c:f>
              <c:numCache>
                <c:formatCode>0%</c:formatCode>
                <c:ptCount val="3"/>
                <c:pt idx="0">
                  <c:v>8.5614646904969491E-2</c:v>
                </c:pt>
                <c:pt idx="1">
                  <c:v>9.2938099389712286E-2</c:v>
                </c:pt>
                <c:pt idx="2">
                  <c:v>0.82144725370531824</c:v>
                </c:pt>
              </c:numCache>
            </c:numRef>
          </c:val>
          <c:extLst xmlns:c16r2="http://schemas.microsoft.com/office/drawing/2015/06/chart">
            <c:ext xmlns:c16="http://schemas.microsoft.com/office/drawing/2014/chart" uri="{C3380CC4-5D6E-409C-BE32-E72D297353CC}">
              <c16:uniqueId val="{00000006-35FA-4091-8511-20EF9B76F61E}"/>
            </c:ext>
          </c:extLst>
        </c:ser>
        <c:firstSliceAng val="0"/>
      </c:pieChart>
      <c:spPr>
        <a:noFill/>
        <a:ln w="25400">
          <a:noFill/>
        </a:ln>
      </c:spPr>
    </c:plotArea>
    <c:legend>
      <c:legendPos val="r"/>
      <c:layout>
        <c:manualLayout>
          <c:xMode val="edge"/>
          <c:yMode val="edge"/>
          <c:x val="0.6185912475226315"/>
          <c:y val="0.32716450766234906"/>
          <c:w val="0.35815709277950991"/>
          <c:h val="0.41303790514557781"/>
        </c:manualLayout>
      </c:layout>
      <c:txPr>
        <a:bodyPr/>
        <a:lstStyle/>
        <a:p>
          <a:pPr>
            <a:defRPr sz="900" b="0" i="0" u="none" strike="noStrike" baseline="0">
              <a:solidFill>
                <a:srgbClr val="000000"/>
              </a:solidFill>
              <a:latin typeface="Calibri"/>
              <a:ea typeface="Calibri"/>
              <a:cs typeface="Calibri"/>
            </a:defRPr>
          </a:pPr>
          <a:endParaRPr lang="fr-FR"/>
        </a:p>
      </c:txPr>
    </c:legend>
    <c:plotVisOnly val="1"/>
    <c:dispBlanksAs val="zero"/>
  </c:chart>
  <c:spPr>
    <a:noFill/>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fr-FR"/>
  <c:style val="26"/>
  <c:chart>
    <c:plotArea>
      <c:layout>
        <c:manualLayout>
          <c:layoutTarget val="inner"/>
          <c:xMode val="edge"/>
          <c:yMode val="edge"/>
          <c:x val="0.29560736662791826"/>
          <c:y val="0.35379552610153658"/>
          <c:w val="0.6272367997597027"/>
          <c:h val="0.64620463828260932"/>
        </c:manualLayout>
      </c:layout>
      <c:barChart>
        <c:barDir val="bar"/>
        <c:grouping val="percentStacked"/>
        <c:ser>
          <c:idx val="0"/>
          <c:order val="0"/>
          <c:tx>
            <c:strRef>
              <c:f>synthese!$H$63</c:f>
              <c:strCache>
                <c:ptCount val="1"/>
                <c:pt idx="0">
                  <c:v>Hommes</c:v>
                </c:pt>
              </c:strCache>
            </c:strRef>
          </c:tx>
          <c:spPr>
            <a:solidFill>
              <a:srgbClr val="4F81BD"/>
            </a:solidFill>
            <a:ln w="19050">
              <a:solidFill>
                <a:schemeClr val="bg1"/>
              </a:solidFill>
              <a:prstDash val="solid"/>
            </a:ln>
            <a:effectLst/>
            <a:scene3d>
              <a:camera prst="orthographicFront"/>
              <a:lightRig rig="threePt" dir="t"/>
            </a:scene3d>
            <a:sp3d/>
          </c:spPr>
          <c:dLbls>
            <c:numFmt formatCode="0%;\–0%;;@" sourceLinked="0"/>
            <c:spPr>
              <a:noFill/>
              <a:ln w="25400">
                <a:noFill/>
              </a:ln>
            </c:spPr>
            <c:txPr>
              <a:bodyPr wrap="square" lIns="38100" tIns="19050" rIns="38100" bIns="19050" anchor="ctr">
                <a:spAutoFit/>
              </a:bodyPr>
              <a:lstStyle/>
              <a:p>
                <a:pPr>
                  <a:defRPr sz="1050" b="1" i="0" u="none" strike="noStrike" baseline="0">
                    <a:solidFill>
                      <a:srgbClr val="FFFFFF"/>
                    </a:solidFill>
                    <a:latin typeface="Calibri"/>
                    <a:ea typeface="Calibri"/>
                    <a:cs typeface="Calibri"/>
                  </a:defRPr>
                </a:pPr>
                <a:endParaRPr lang="fr-FR"/>
              </a:p>
            </c:txPr>
            <c:dLblPos val="ctr"/>
            <c:showVal val="1"/>
            <c:extLst xmlns:c16r2="http://schemas.microsoft.com/office/drawing/2015/06/chart">
              <c:ext xmlns:c15="http://schemas.microsoft.com/office/drawing/2012/chart" uri="{CE6537A1-D6FC-4f65-9D91-7224C49458BB}">
                <c15:layout/>
                <c15:showLeaderLines val="0"/>
              </c:ext>
            </c:extLst>
          </c:dLbls>
          <c:cat>
            <c:strRef>
              <c:f>synthese!$G$64:$G$66</c:f>
              <c:strCache>
                <c:ptCount val="3"/>
                <c:pt idx="0">
                  <c:v>Ensemble</c:v>
                </c:pt>
                <c:pt idx="1">
                  <c:v>Contractuels</c:v>
                </c:pt>
                <c:pt idx="2">
                  <c:v>Fonctionnaires</c:v>
                </c:pt>
              </c:strCache>
            </c:strRef>
          </c:cat>
          <c:val>
            <c:numRef>
              <c:f>synthese!$H$64:$H$66</c:f>
              <c:numCache>
                <c:formatCode>0%</c:formatCode>
                <c:ptCount val="3"/>
                <c:pt idx="0">
                  <c:v>0.31351351351351353</c:v>
                </c:pt>
                <c:pt idx="1">
                  <c:v>0.24471635150166851</c:v>
                </c:pt>
                <c:pt idx="2">
                  <c:v>0.32630272952853601</c:v>
                </c:pt>
              </c:numCache>
            </c:numRef>
          </c:val>
          <c:extLst xmlns:c16r2="http://schemas.microsoft.com/office/drawing/2015/06/chart">
            <c:ext xmlns:c16="http://schemas.microsoft.com/office/drawing/2014/chart" uri="{C3380CC4-5D6E-409C-BE32-E72D297353CC}">
              <c16:uniqueId val="{00000000-5FFC-4297-BC9B-78F24D8C2B49}"/>
            </c:ext>
          </c:extLst>
        </c:ser>
        <c:ser>
          <c:idx val="1"/>
          <c:order val="1"/>
          <c:tx>
            <c:strRef>
              <c:f>synthese!$I$63</c:f>
              <c:strCache>
                <c:ptCount val="1"/>
                <c:pt idx="0">
                  <c:v>Femmes</c:v>
                </c:pt>
              </c:strCache>
            </c:strRef>
          </c:tx>
          <c:spPr>
            <a:solidFill>
              <a:srgbClr val="8064A2"/>
            </a:solidFill>
            <a:ln w="19050">
              <a:solidFill>
                <a:schemeClr val="bg1"/>
              </a:solidFill>
            </a:ln>
            <a:effectLst/>
            <a:scene3d>
              <a:camera prst="orthographicFront"/>
              <a:lightRig rig="threePt" dir="t">
                <a:rot lat="0" lon="0" rev="1200000"/>
              </a:lightRig>
            </a:scene3d>
            <a:sp3d/>
          </c:spPr>
          <c:dLbls>
            <c:numFmt formatCode="0%;\–0%;;@" sourceLinked="0"/>
            <c:spPr>
              <a:noFill/>
              <a:ln w="25400">
                <a:noFill/>
              </a:ln>
            </c:spPr>
            <c:txPr>
              <a:bodyPr wrap="square" lIns="38100" tIns="19050" rIns="38100" bIns="19050" anchor="ctr">
                <a:spAutoFit/>
              </a:bodyPr>
              <a:lstStyle/>
              <a:p>
                <a:pPr>
                  <a:defRPr sz="1050" b="1" i="0" u="none" strike="noStrike" baseline="0">
                    <a:solidFill>
                      <a:srgbClr val="FFFFFF"/>
                    </a:solidFill>
                    <a:latin typeface="Calibri"/>
                    <a:ea typeface="Calibri"/>
                    <a:cs typeface="Calibri"/>
                  </a:defRPr>
                </a:pPr>
                <a:endParaRPr lang="fr-FR"/>
              </a:p>
            </c:txPr>
            <c:dLblPos val="ctr"/>
            <c:showVal val="1"/>
            <c:extLst xmlns:c16r2="http://schemas.microsoft.com/office/drawing/2015/06/chart">
              <c:ext xmlns:c15="http://schemas.microsoft.com/office/drawing/2012/chart" uri="{CE6537A1-D6FC-4f65-9D91-7224C49458BB}">
                <c15:layout/>
                <c15:showLeaderLines val="0"/>
              </c:ext>
            </c:extLst>
          </c:dLbls>
          <c:cat>
            <c:strRef>
              <c:f>synthese!$G$64:$G$66</c:f>
              <c:strCache>
                <c:ptCount val="3"/>
                <c:pt idx="0">
                  <c:v>Ensemble</c:v>
                </c:pt>
                <c:pt idx="1">
                  <c:v>Contractuels</c:v>
                </c:pt>
                <c:pt idx="2">
                  <c:v>Fonctionnaires</c:v>
                </c:pt>
              </c:strCache>
            </c:strRef>
          </c:cat>
          <c:val>
            <c:numRef>
              <c:f>synthese!$I$64:$I$66</c:f>
              <c:numCache>
                <c:formatCode>0%</c:formatCode>
                <c:ptCount val="3"/>
                <c:pt idx="0">
                  <c:v>0.68648648648648647</c:v>
                </c:pt>
                <c:pt idx="1">
                  <c:v>0.75528364849833152</c:v>
                </c:pt>
                <c:pt idx="2">
                  <c:v>0.67369727047146399</c:v>
                </c:pt>
              </c:numCache>
            </c:numRef>
          </c:val>
          <c:extLst xmlns:c16r2="http://schemas.microsoft.com/office/drawing/2015/06/chart">
            <c:ext xmlns:c16="http://schemas.microsoft.com/office/drawing/2014/chart" uri="{C3380CC4-5D6E-409C-BE32-E72D297353CC}">
              <c16:uniqueId val="{00000001-5FFC-4297-BC9B-78F24D8C2B49}"/>
            </c:ext>
          </c:extLst>
        </c:ser>
        <c:gapWidth val="50"/>
        <c:overlap val="100"/>
        <c:axId val="296978304"/>
        <c:axId val="296979840"/>
      </c:barChart>
      <c:catAx>
        <c:axId val="296978304"/>
        <c:scaling>
          <c:orientation val="minMax"/>
        </c:scaling>
        <c:axPos val="l"/>
        <c:numFmt formatCode="General" sourceLinked="1"/>
        <c:tickLblPos val="nextTo"/>
        <c:spPr>
          <a:ln>
            <a:solidFill>
              <a:schemeClr val="bg1">
                <a:lumMod val="75000"/>
              </a:schemeClr>
            </a:solidFill>
          </a:ln>
        </c:spPr>
        <c:txPr>
          <a:bodyPr rot="0" vert="horz"/>
          <a:lstStyle/>
          <a:p>
            <a:pPr>
              <a:defRPr sz="1000" b="0" i="0" u="none" strike="noStrike" baseline="0">
                <a:solidFill>
                  <a:srgbClr val="000000"/>
                </a:solidFill>
                <a:latin typeface="Calibri"/>
                <a:ea typeface="Calibri"/>
                <a:cs typeface="Calibri"/>
              </a:defRPr>
            </a:pPr>
            <a:endParaRPr lang="fr-FR"/>
          </a:p>
        </c:txPr>
        <c:crossAx val="296979840"/>
        <c:crosses val="autoZero"/>
        <c:auto val="1"/>
        <c:lblAlgn val="ctr"/>
        <c:lblOffset val="100"/>
      </c:catAx>
      <c:valAx>
        <c:axId val="296979840"/>
        <c:scaling>
          <c:orientation val="minMax"/>
        </c:scaling>
        <c:delete val="1"/>
        <c:axPos val="b"/>
        <c:majorGridlines>
          <c:spPr>
            <a:ln>
              <a:solidFill>
                <a:schemeClr val="bg1">
                  <a:lumMod val="75000"/>
                </a:schemeClr>
              </a:solidFill>
            </a:ln>
          </c:spPr>
        </c:majorGridlines>
        <c:numFmt formatCode="0%" sourceLinked="1"/>
        <c:tickLblPos val="none"/>
        <c:crossAx val="296978304"/>
        <c:crosses val="autoZero"/>
        <c:crossBetween val="between"/>
        <c:majorUnit val="0.5"/>
      </c:valAx>
      <c:spPr>
        <a:noFill/>
        <a:ln w="25400">
          <a:solidFill>
            <a:srgbClr val="FFFFFF"/>
          </a:solidFill>
          <a:prstDash val="solid"/>
        </a:ln>
      </c:spPr>
    </c:plotArea>
    <c:legend>
      <c:legendPos val="r"/>
      <c:layout>
        <c:manualLayout>
          <c:xMode val="edge"/>
          <c:yMode val="edge"/>
          <c:x val="0.2674924761148445"/>
          <c:y val="0.18258079197152091"/>
          <c:w val="0.72807219645489585"/>
          <c:h val="0.14746579549896699"/>
        </c:manualLayout>
      </c:layout>
      <c:spPr>
        <a:noFill/>
      </c:spPr>
      <c:txPr>
        <a:bodyPr/>
        <a:lstStyle/>
        <a:p>
          <a:pPr>
            <a:defRPr sz="900" b="0" i="0" u="none" strike="noStrike" baseline="0">
              <a:solidFill>
                <a:srgbClr val="000000"/>
              </a:solidFill>
              <a:latin typeface="Calibri"/>
              <a:ea typeface="Calibri"/>
              <a:cs typeface="Calibri"/>
            </a:defRPr>
          </a:pPr>
          <a:endParaRPr lang="fr-FR"/>
        </a:p>
      </c:txPr>
    </c:legend>
    <c:plotVisOnly val="1"/>
    <c:dispBlanksAs val="gap"/>
  </c:chart>
  <c:spPr>
    <a:noFill/>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oddFooter>&amp;R&amp;"-,Italique"&amp;9&amp;K00-032&amp;P</c:oddFooter>
    </c:headerFooter>
    <c:pageMargins b="0.75000000000000033" l="0.70000000000000029" r="0.70000000000000029" t="0.75000000000000033" header="0.30000000000000016" footer="0.30000000000000016"/>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lang val="fr-FR"/>
  <c:style val="31"/>
  <c:chart>
    <c:plotArea>
      <c:layout>
        <c:manualLayout>
          <c:layoutTarget val="inner"/>
          <c:xMode val="edge"/>
          <c:yMode val="edge"/>
          <c:x val="0.37800814140403982"/>
          <c:y val="4.7619363967926022E-2"/>
          <c:w val="0.52233852266740044"/>
          <c:h val="0.64411476439096249"/>
        </c:manualLayout>
      </c:layout>
      <c:barChart>
        <c:barDir val="bar"/>
        <c:grouping val="percentStacked"/>
        <c:ser>
          <c:idx val="0"/>
          <c:order val="0"/>
          <c:tx>
            <c:strRef>
              <c:f>synthese!$U$62</c:f>
              <c:strCache>
                <c:ptCount val="1"/>
                <c:pt idx="0">
                  <c:v>Temps complet</c:v>
                </c:pt>
              </c:strCache>
            </c:strRef>
          </c:tx>
          <c:spPr>
            <a:solidFill>
              <a:schemeClr val="accent5">
                <a:lumMod val="60000"/>
                <a:lumOff val="40000"/>
              </a:schemeClr>
            </a:solidFill>
            <a:ln>
              <a:solidFill>
                <a:schemeClr val="bg1"/>
              </a:solidFill>
            </a:ln>
            <a:effectLst/>
            <a:scene3d>
              <a:camera prst="orthographicFront"/>
              <a:lightRig rig="threePt" dir="t">
                <a:rot lat="0" lon="0" rev="1200000"/>
              </a:lightRig>
            </a:scene3d>
            <a:sp3d/>
          </c:spPr>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fr-FR"/>
              </a:p>
            </c:txPr>
            <c:showVal val="1"/>
            <c:extLst xmlns:c16r2="http://schemas.microsoft.com/office/drawing/2015/06/chart">
              <c:ext xmlns:c15="http://schemas.microsoft.com/office/drawing/2012/chart" uri="{CE6537A1-D6FC-4f65-9D91-7224C49458BB}">
                <c15:layout/>
                <c15:showLeaderLines val="0"/>
              </c:ext>
            </c:extLst>
          </c:dLbls>
          <c:cat>
            <c:strRef>
              <c:f>synthese!$S$63:$S$64</c:f>
              <c:strCache>
                <c:ptCount val="2"/>
                <c:pt idx="0">
                  <c:v>Contractuels</c:v>
                </c:pt>
                <c:pt idx="1">
                  <c:v>Fonctionnaires</c:v>
                </c:pt>
              </c:strCache>
            </c:strRef>
          </c:cat>
          <c:val>
            <c:numRef>
              <c:f>synthese!$U$63:$U$64</c:f>
              <c:numCache>
                <c:formatCode>0%;0%;;@</c:formatCode>
                <c:ptCount val="2"/>
                <c:pt idx="0">
                  <c:v>0.70189098998887656</c:v>
                </c:pt>
                <c:pt idx="1">
                  <c:v>0.88606286186931349</c:v>
                </c:pt>
              </c:numCache>
            </c:numRef>
          </c:val>
          <c:extLst xmlns:c16r2="http://schemas.microsoft.com/office/drawing/2015/06/chart">
            <c:ext xmlns:c16="http://schemas.microsoft.com/office/drawing/2014/chart" uri="{C3380CC4-5D6E-409C-BE32-E72D297353CC}">
              <c16:uniqueId val="{00000000-F524-41DC-9BF6-928F85511D7E}"/>
            </c:ext>
          </c:extLst>
        </c:ser>
        <c:ser>
          <c:idx val="1"/>
          <c:order val="1"/>
          <c:tx>
            <c:strRef>
              <c:f>synthese!$V$62</c:f>
              <c:strCache>
                <c:ptCount val="1"/>
                <c:pt idx="0">
                  <c:v>Temps non complet</c:v>
                </c:pt>
              </c:strCache>
            </c:strRef>
          </c:tx>
          <c:spPr>
            <a:solidFill>
              <a:srgbClr val="FFC000"/>
            </a:solidFill>
            <a:ln w="12700">
              <a:solidFill>
                <a:srgbClr val="FFFFFF"/>
              </a:solidFill>
              <a:prstDash val="solid"/>
            </a:ln>
            <a:effectLst/>
            <a:scene3d>
              <a:camera prst="orthographicFront"/>
              <a:lightRig rig="threePt" dir="t"/>
            </a:scene3d>
            <a:sp3d prstMaterial="matte"/>
          </c:spPr>
          <c:dLbls>
            <c:dLbl>
              <c:idx val="1"/>
              <c:layout>
                <c:manualLayout>
                  <c:x val="4.33793689770548E-3"/>
                  <c:y val="-2.4377578642300493E-17"/>
                </c:manualLayout>
              </c:layout>
              <c:numFmt formatCode="0%;0%;;@" sourceLinked="0"/>
              <c:spPr>
                <a:noFill/>
                <a:ln w="25400">
                  <a:noFill/>
                </a:ln>
              </c:spPr>
              <c:txPr>
                <a:bodyPr/>
                <a:lstStyle/>
                <a:p>
                  <a:pPr>
                    <a:defRPr sz="1000" b="0" i="0" u="none" strike="noStrike" baseline="0">
                      <a:solidFill>
                        <a:srgbClr val="000000"/>
                      </a:solidFill>
                      <a:latin typeface="Calibri"/>
                      <a:ea typeface="Calibri"/>
                      <a:cs typeface="Calibri"/>
                    </a:defRPr>
                  </a:pPr>
                  <a:endParaRPr lang="fr-FR"/>
                </a:p>
              </c:txPr>
              <c:dLblPos val="ctr"/>
              <c:showVal val="1"/>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F524-41DC-9BF6-928F85511D7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fr-FR"/>
              </a:p>
            </c:txPr>
            <c:showVal val="1"/>
            <c:extLst xmlns:c16r2="http://schemas.microsoft.com/office/drawing/2015/06/chart">
              <c:ext xmlns:c15="http://schemas.microsoft.com/office/drawing/2012/chart" uri="{CE6537A1-D6FC-4f65-9D91-7224C49458BB}">
                <c15:layout/>
                <c15:showLeaderLines val="0"/>
              </c:ext>
            </c:extLst>
          </c:dLbls>
          <c:cat>
            <c:strRef>
              <c:f>synthese!$S$63:$S$64</c:f>
              <c:strCache>
                <c:ptCount val="2"/>
                <c:pt idx="0">
                  <c:v>Contractuels</c:v>
                </c:pt>
                <c:pt idx="1">
                  <c:v>Fonctionnaires</c:v>
                </c:pt>
              </c:strCache>
            </c:strRef>
          </c:cat>
          <c:val>
            <c:numRef>
              <c:f>synthese!$V$63:$V$64</c:f>
              <c:numCache>
                <c:formatCode>0%;0%;;@</c:formatCode>
                <c:ptCount val="2"/>
                <c:pt idx="0">
                  <c:v>0.29810901001112344</c:v>
                </c:pt>
                <c:pt idx="1">
                  <c:v>0.11393713813068652</c:v>
                </c:pt>
              </c:numCache>
            </c:numRef>
          </c:val>
          <c:extLst xmlns:c16r2="http://schemas.microsoft.com/office/drawing/2015/06/chart">
            <c:ext xmlns:c16="http://schemas.microsoft.com/office/drawing/2014/chart" uri="{C3380CC4-5D6E-409C-BE32-E72D297353CC}">
              <c16:uniqueId val="{00000002-F524-41DC-9BF6-928F85511D7E}"/>
            </c:ext>
          </c:extLst>
        </c:ser>
        <c:gapWidth val="50"/>
        <c:overlap val="100"/>
        <c:axId val="297020032"/>
        <c:axId val="297030016"/>
      </c:barChart>
      <c:catAx>
        <c:axId val="297020032"/>
        <c:scaling>
          <c:orientation val="minMax"/>
        </c:scaling>
        <c:axPos val="l"/>
        <c:numFmt formatCode="General" sourceLinked="1"/>
        <c:tickLblPos val="nextTo"/>
        <c:spPr>
          <a:ln>
            <a:solidFill>
              <a:schemeClr val="bg1">
                <a:lumMod val="75000"/>
              </a:schemeClr>
            </a:solidFill>
          </a:ln>
        </c:spPr>
        <c:txPr>
          <a:bodyPr rot="0" vert="horz"/>
          <a:lstStyle/>
          <a:p>
            <a:pPr>
              <a:defRPr sz="1000" b="0" i="0" u="none" strike="noStrike" baseline="0">
                <a:solidFill>
                  <a:srgbClr val="000000"/>
                </a:solidFill>
                <a:latin typeface="Calibri"/>
                <a:ea typeface="Calibri"/>
                <a:cs typeface="Calibri"/>
              </a:defRPr>
            </a:pPr>
            <a:endParaRPr lang="fr-FR"/>
          </a:p>
        </c:txPr>
        <c:crossAx val="297030016"/>
        <c:crosses val="autoZero"/>
        <c:auto val="1"/>
        <c:lblAlgn val="ctr"/>
        <c:lblOffset val="100"/>
      </c:catAx>
      <c:valAx>
        <c:axId val="297030016"/>
        <c:scaling>
          <c:orientation val="minMax"/>
          <c:max val="1"/>
          <c:min val="0"/>
        </c:scaling>
        <c:delete val="1"/>
        <c:axPos val="b"/>
        <c:majorGridlines>
          <c:spPr>
            <a:ln>
              <a:solidFill>
                <a:schemeClr val="bg1">
                  <a:lumMod val="75000"/>
                </a:schemeClr>
              </a:solidFill>
            </a:ln>
          </c:spPr>
        </c:majorGridlines>
        <c:numFmt formatCode="0%" sourceLinked="1"/>
        <c:tickLblPos val="none"/>
        <c:crossAx val="297020032"/>
        <c:crosses val="autoZero"/>
        <c:crossBetween val="between"/>
        <c:majorUnit val="0.5"/>
        <c:minorUnit val="0.1"/>
      </c:valAx>
      <c:spPr>
        <a:noFill/>
        <a:ln w="25400">
          <a:noFill/>
        </a:ln>
      </c:spPr>
    </c:plotArea>
    <c:legend>
      <c:legendPos val="r"/>
      <c:layout>
        <c:manualLayout>
          <c:xMode val="edge"/>
          <c:yMode val="edge"/>
          <c:x val="1.754375165645012E-2"/>
          <c:y val="0.75566530183727032"/>
          <c:w val="0.97895064419879174"/>
          <c:h val="0.2014395800524936"/>
        </c:manualLayout>
      </c:layout>
      <c:txPr>
        <a:bodyPr/>
        <a:lstStyle/>
        <a:p>
          <a:pPr>
            <a:defRPr sz="920" b="0" i="0" u="none" strike="noStrike" baseline="0">
              <a:solidFill>
                <a:srgbClr val="000000"/>
              </a:solidFill>
              <a:latin typeface="Calibri"/>
              <a:ea typeface="Calibri"/>
              <a:cs typeface="Calibri"/>
            </a:defRPr>
          </a:pPr>
          <a:endParaRPr lang="fr-FR"/>
        </a:p>
      </c:txPr>
    </c:legend>
    <c:plotVisOnly val="1"/>
    <c:dispBlanksAs val="gap"/>
  </c:chart>
  <c:spPr>
    <a:noFill/>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fr-FR"/>
  <c:style val="31"/>
  <c:chart>
    <c:plotArea>
      <c:layout>
        <c:manualLayout>
          <c:layoutTarget val="inner"/>
          <c:xMode val="edge"/>
          <c:yMode val="edge"/>
          <c:x val="0.3668769888450541"/>
          <c:y val="8.3368402479101864E-2"/>
          <c:w val="0.55480193747338036"/>
          <c:h val="0.61479781129053845"/>
        </c:manualLayout>
      </c:layout>
      <c:barChart>
        <c:barDir val="bar"/>
        <c:grouping val="percentStacked"/>
        <c:ser>
          <c:idx val="0"/>
          <c:order val="0"/>
          <c:tx>
            <c:strRef>
              <c:f>synthese!$U$66</c:f>
              <c:strCache>
                <c:ptCount val="1"/>
                <c:pt idx="0">
                  <c:v>Temps plein</c:v>
                </c:pt>
              </c:strCache>
            </c:strRef>
          </c:tx>
          <c:spPr>
            <a:solidFill>
              <a:srgbClr val="9BBB59"/>
            </a:solidFill>
            <a:ln w="12700">
              <a:solidFill>
                <a:srgbClr val="FFFFFF"/>
              </a:solidFill>
              <a:prstDash val="solid"/>
            </a:ln>
            <a:effectLst/>
            <a:scene3d>
              <a:camera prst="orthographicFront"/>
              <a:lightRig rig="threePt" dir="t">
                <a:rot lat="0" lon="0" rev="1200000"/>
              </a:lightRig>
            </a:scene3d>
            <a:sp3d/>
          </c:spPr>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fr-FR"/>
              </a:p>
            </c:txPr>
            <c:showVal val="1"/>
            <c:extLst xmlns:c16r2="http://schemas.microsoft.com/office/drawing/2015/06/chart">
              <c:ext xmlns:c15="http://schemas.microsoft.com/office/drawing/2012/chart" uri="{CE6537A1-D6FC-4f65-9D91-7224C49458BB}">
                <c15:layout/>
                <c15:showLeaderLines val="0"/>
              </c:ext>
            </c:extLst>
          </c:dLbls>
          <c:cat>
            <c:strRef>
              <c:f>synthese!$S$67:$T$68</c:f>
              <c:strCache>
                <c:ptCount val="2"/>
                <c:pt idx="0">
                  <c:v>Contractuels</c:v>
                </c:pt>
                <c:pt idx="1">
                  <c:v>Fonctionnaires</c:v>
                </c:pt>
              </c:strCache>
            </c:strRef>
          </c:cat>
          <c:val>
            <c:numRef>
              <c:f>synthese!$U$67:$U$68</c:f>
              <c:numCache>
                <c:formatCode>0%</c:formatCode>
                <c:ptCount val="2"/>
                <c:pt idx="0">
                  <c:v>0.89857369255150554</c:v>
                </c:pt>
                <c:pt idx="1">
                  <c:v>0.9064177362893816</c:v>
                </c:pt>
              </c:numCache>
            </c:numRef>
          </c:val>
          <c:extLst xmlns:c16r2="http://schemas.microsoft.com/office/drawing/2015/06/chart">
            <c:ext xmlns:c16="http://schemas.microsoft.com/office/drawing/2014/chart" uri="{C3380CC4-5D6E-409C-BE32-E72D297353CC}">
              <c16:uniqueId val="{00000000-5F4D-4FAA-9D8D-91CFF74BC8A4}"/>
            </c:ext>
          </c:extLst>
        </c:ser>
        <c:ser>
          <c:idx val="1"/>
          <c:order val="1"/>
          <c:tx>
            <c:strRef>
              <c:f>synthese!$V$66</c:f>
              <c:strCache>
                <c:ptCount val="1"/>
                <c:pt idx="0">
                  <c:v>Temps partiel</c:v>
                </c:pt>
              </c:strCache>
            </c:strRef>
          </c:tx>
          <c:spPr>
            <a:solidFill>
              <a:srgbClr val="FD8383"/>
            </a:solidFill>
            <a:ln>
              <a:solidFill>
                <a:schemeClr val="bg1"/>
              </a:solidFill>
            </a:ln>
            <a:effectLst/>
            <a:scene3d>
              <a:camera prst="orthographicFront"/>
              <a:lightRig rig="threePt" dir="t">
                <a:rot lat="0" lon="0" rev="1200000"/>
              </a:lightRig>
            </a:scene3d>
            <a:sp3d/>
          </c:spPr>
          <c:dLbls>
            <c:dLbl>
              <c:idx val="1"/>
              <c:layout>
                <c:manualLayout>
                  <c:x val="1.1963025772627789E-2"/>
                  <c:y val="-1.2041589944987965E-2"/>
                </c:manualLayout>
              </c:layout>
              <c:showVal val="1"/>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5F4D-4FAA-9D8D-91CFF74BC8A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fr-FR"/>
              </a:p>
            </c:txPr>
            <c:showVal val="1"/>
            <c:extLst xmlns:c16r2="http://schemas.microsoft.com/office/drawing/2015/06/chart">
              <c:ext xmlns:c15="http://schemas.microsoft.com/office/drawing/2012/chart" uri="{CE6537A1-D6FC-4f65-9D91-7224C49458BB}">
                <c15:layout/>
                <c15:showLeaderLines val="0"/>
              </c:ext>
            </c:extLst>
          </c:dLbls>
          <c:cat>
            <c:strRef>
              <c:f>synthese!$S$67:$T$68</c:f>
              <c:strCache>
                <c:ptCount val="2"/>
                <c:pt idx="0">
                  <c:v>Contractuels</c:v>
                </c:pt>
                <c:pt idx="1">
                  <c:v>Fonctionnaires</c:v>
                </c:pt>
              </c:strCache>
            </c:strRef>
          </c:cat>
          <c:val>
            <c:numRef>
              <c:f>synthese!$V$67:$V$68</c:f>
              <c:numCache>
                <c:formatCode>0%</c:formatCode>
                <c:ptCount val="2"/>
                <c:pt idx="0">
                  <c:v>0.10142630744849446</c:v>
                </c:pt>
                <c:pt idx="1">
                  <c:v>9.3582263710618438E-2</c:v>
                </c:pt>
              </c:numCache>
            </c:numRef>
          </c:val>
          <c:extLst xmlns:c16r2="http://schemas.microsoft.com/office/drawing/2015/06/chart">
            <c:ext xmlns:c16="http://schemas.microsoft.com/office/drawing/2014/chart" uri="{C3380CC4-5D6E-409C-BE32-E72D297353CC}">
              <c16:uniqueId val="{00000002-5F4D-4FAA-9D8D-91CFF74BC8A4}"/>
            </c:ext>
          </c:extLst>
        </c:ser>
        <c:gapWidth val="50"/>
        <c:overlap val="100"/>
        <c:axId val="297065472"/>
        <c:axId val="297075456"/>
      </c:barChart>
      <c:catAx>
        <c:axId val="297065472"/>
        <c:scaling>
          <c:orientation val="minMax"/>
        </c:scaling>
        <c:axPos val="l"/>
        <c:numFmt formatCode="General" sourceLinked="1"/>
        <c:tickLblPos val="nextTo"/>
        <c:spPr>
          <a:ln>
            <a:solidFill>
              <a:schemeClr val="bg1">
                <a:lumMod val="75000"/>
              </a:schemeClr>
            </a:solidFill>
          </a:ln>
        </c:spPr>
        <c:txPr>
          <a:bodyPr rot="0" vert="horz"/>
          <a:lstStyle/>
          <a:p>
            <a:pPr>
              <a:defRPr sz="1000" b="0" i="0" u="none" strike="noStrike" baseline="0">
                <a:solidFill>
                  <a:srgbClr val="000000"/>
                </a:solidFill>
                <a:latin typeface="Calibri"/>
                <a:ea typeface="Calibri"/>
                <a:cs typeface="Calibri"/>
              </a:defRPr>
            </a:pPr>
            <a:endParaRPr lang="fr-FR"/>
          </a:p>
        </c:txPr>
        <c:crossAx val="297075456"/>
        <c:crosses val="autoZero"/>
        <c:auto val="1"/>
        <c:lblAlgn val="ctr"/>
        <c:lblOffset val="100"/>
      </c:catAx>
      <c:valAx>
        <c:axId val="297075456"/>
        <c:scaling>
          <c:orientation val="minMax"/>
          <c:max val="1"/>
          <c:min val="0"/>
        </c:scaling>
        <c:delete val="1"/>
        <c:axPos val="b"/>
        <c:majorGridlines>
          <c:spPr>
            <a:ln>
              <a:solidFill>
                <a:schemeClr val="bg1">
                  <a:lumMod val="75000"/>
                </a:schemeClr>
              </a:solidFill>
            </a:ln>
          </c:spPr>
        </c:majorGridlines>
        <c:numFmt formatCode="0%" sourceLinked="1"/>
        <c:tickLblPos val="none"/>
        <c:crossAx val="297065472"/>
        <c:crosses val="autoZero"/>
        <c:crossBetween val="between"/>
        <c:majorUnit val="0.5"/>
        <c:minorUnit val="0.1"/>
      </c:valAx>
      <c:spPr>
        <a:noFill/>
        <a:ln w="25400">
          <a:noFill/>
        </a:ln>
      </c:spPr>
    </c:plotArea>
    <c:legend>
      <c:legendPos val="r"/>
      <c:layout>
        <c:manualLayout>
          <c:xMode val="edge"/>
          <c:yMode val="edge"/>
          <c:x val="3.3222513852435111E-2"/>
          <c:y val="0.7968253968253971"/>
          <c:w val="0.95348984154758465"/>
          <c:h val="0.14285714285714299"/>
        </c:manualLayout>
      </c:layout>
      <c:txPr>
        <a:bodyPr/>
        <a:lstStyle/>
        <a:p>
          <a:pPr>
            <a:defRPr sz="920" b="0" i="0" u="none" strike="noStrike" baseline="0">
              <a:solidFill>
                <a:srgbClr val="000000"/>
              </a:solidFill>
              <a:latin typeface="Calibri"/>
              <a:ea typeface="Calibri"/>
              <a:cs typeface="Calibri"/>
            </a:defRPr>
          </a:pPr>
          <a:endParaRPr lang="fr-FR"/>
        </a:p>
      </c:txPr>
    </c:legend>
    <c:plotVisOnly val="1"/>
    <c:dispBlanksAs val="gap"/>
  </c:chart>
  <c:spPr>
    <a:noFill/>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fr-FR"/>
  <c:style val="26"/>
  <c:chart>
    <c:plotArea>
      <c:layout>
        <c:manualLayout>
          <c:layoutTarget val="inner"/>
          <c:xMode val="edge"/>
          <c:yMode val="edge"/>
          <c:x val="0.10772198929679248"/>
          <c:y val="0.20331662775820714"/>
          <c:w val="0.34028850783352577"/>
          <c:h val="0.64407264336760761"/>
        </c:manualLayout>
      </c:layout>
      <c:pieChart>
        <c:varyColors val="1"/>
        <c:ser>
          <c:idx val="0"/>
          <c:order val="0"/>
          <c:spPr>
            <a:ln>
              <a:solidFill>
                <a:schemeClr val="bg1"/>
              </a:solidFill>
            </a:ln>
            <a:effectLst/>
            <a:scene3d>
              <a:camera prst="orthographicFront"/>
              <a:lightRig rig="threePt" dir="t">
                <a:rot lat="0" lon="0" rev="1200000"/>
              </a:lightRig>
            </a:scene3d>
            <a:sp3d/>
          </c:spPr>
          <c:dPt>
            <c:idx val="0"/>
            <c:spPr>
              <a:solidFill>
                <a:srgbClr val="C0504D"/>
              </a:solidFill>
              <a:ln w="12700">
                <a:solidFill>
                  <a:srgbClr val="FFFFFF"/>
                </a:solidFill>
                <a:prstDash val="solid"/>
              </a:ln>
              <a:scene3d>
                <a:camera prst="orthographicFront"/>
                <a:lightRig rig="threePt" dir="t">
                  <a:rot lat="0" lon="0" rev="1200000"/>
                </a:lightRig>
              </a:scene3d>
              <a:sp3d/>
            </c:spPr>
            <c:extLst xmlns:c16r2="http://schemas.microsoft.com/office/drawing/2015/06/chart">
              <c:ext xmlns:c16="http://schemas.microsoft.com/office/drawing/2014/chart" uri="{C3380CC4-5D6E-409C-BE32-E72D297353CC}">
                <c16:uniqueId val="{00000001-BBB6-47AD-ADBA-2A976425F39B}"/>
              </c:ext>
            </c:extLst>
          </c:dPt>
          <c:dPt>
            <c:idx val="1"/>
            <c:spPr>
              <a:solidFill>
                <a:srgbClr val="4F81BD"/>
              </a:solidFill>
              <a:ln w="12700">
                <a:solidFill>
                  <a:srgbClr val="FFFFFF"/>
                </a:solidFill>
                <a:prstDash val="solid"/>
              </a:ln>
              <a:effectLst/>
              <a:scene3d>
                <a:camera prst="orthographicFront"/>
                <a:lightRig rig="threePt" dir="t">
                  <a:rot lat="0" lon="0" rev="1200000"/>
                </a:lightRig>
              </a:scene3d>
              <a:sp3d/>
            </c:spPr>
            <c:extLst xmlns:c16r2="http://schemas.microsoft.com/office/drawing/2015/06/chart">
              <c:ext xmlns:c16="http://schemas.microsoft.com/office/drawing/2014/chart" uri="{C3380CC4-5D6E-409C-BE32-E72D297353CC}">
                <c16:uniqueId val="{00000003-BBB6-47AD-ADBA-2A976425F39B}"/>
              </c:ext>
            </c:extLst>
          </c:dPt>
          <c:dPt>
            <c:idx val="2"/>
            <c:spPr>
              <a:solidFill>
                <a:srgbClr val="9BBB59"/>
              </a:solidFill>
              <a:ln w="12700">
                <a:solidFill>
                  <a:srgbClr val="FFFFFF"/>
                </a:solidFill>
                <a:prstDash val="solid"/>
              </a:ln>
              <a:effectLst/>
              <a:scene3d>
                <a:camera prst="orthographicFront"/>
                <a:lightRig rig="threePt" dir="t">
                  <a:rot lat="0" lon="0" rev="1200000"/>
                </a:lightRig>
              </a:scene3d>
              <a:sp3d/>
            </c:spPr>
            <c:extLst xmlns:c16r2="http://schemas.microsoft.com/office/drawing/2015/06/chart">
              <c:ext xmlns:c16="http://schemas.microsoft.com/office/drawing/2014/chart" uri="{C3380CC4-5D6E-409C-BE32-E72D297353CC}">
                <c16:uniqueId val="{00000005-BBB6-47AD-ADBA-2A976425F39B}"/>
              </c:ext>
            </c:extLst>
          </c:dPt>
          <c:dLbls>
            <c:numFmt formatCode="0%;\–0%;;@" sourceLinked="0"/>
            <c:spPr>
              <a:noFill/>
              <a:ln w="25400">
                <a:noFill/>
              </a:ln>
            </c:spPr>
            <c:dLblPos val="bestFit"/>
            <c:showVal val="1"/>
            <c:showLeaderLines val="1"/>
            <c:extLst xmlns:c16r2="http://schemas.microsoft.com/office/drawing/2015/06/chart">
              <c:ext xmlns:c15="http://schemas.microsoft.com/office/drawing/2012/chart" uri="{CE6537A1-D6FC-4f65-9D91-7224C49458BB}">
                <c15:layout/>
              </c:ext>
            </c:extLst>
          </c:dLbls>
          <c:cat>
            <c:strRef>
              <c:f>synthese!$BR$90:$BR$92</c:f>
              <c:strCache>
                <c:ptCount val="3"/>
                <c:pt idx="0">
                  <c:v>Catégorie A</c:v>
                </c:pt>
                <c:pt idx="1">
                  <c:v>Catégorie B</c:v>
                </c:pt>
                <c:pt idx="2">
                  <c:v>Catégorie C</c:v>
                </c:pt>
              </c:strCache>
            </c:strRef>
          </c:cat>
          <c:val>
            <c:numRef>
              <c:f>synthese!$BS$90:$BS$92</c:f>
              <c:numCache>
                <c:formatCode>0%</c:formatCode>
                <c:ptCount val="3"/>
                <c:pt idx="0">
                  <c:v>0.12043795620437957</c:v>
                </c:pt>
                <c:pt idx="1">
                  <c:v>0.11887382690302398</c:v>
                </c:pt>
                <c:pt idx="2">
                  <c:v>0.76068821689259647</c:v>
                </c:pt>
              </c:numCache>
            </c:numRef>
          </c:val>
          <c:extLst xmlns:c16r2="http://schemas.microsoft.com/office/drawing/2015/06/chart">
            <c:ext xmlns:c16="http://schemas.microsoft.com/office/drawing/2014/chart" uri="{C3380CC4-5D6E-409C-BE32-E72D297353CC}">
              <c16:uniqueId val="{00000006-BBB6-47AD-ADBA-2A976425F39B}"/>
            </c:ext>
          </c:extLst>
        </c:ser>
        <c:firstSliceAng val="0"/>
      </c:pieChart>
      <c:spPr>
        <a:noFill/>
        <a:ln w="25400">
          <a:noFill/>
        </a:ln>
      </c:spPr>
    </c:plotArea>
    <c:legend>
      <c:legendPos val="r"/>
      <c:layout>
        <c:manualLayout>
          <c:xMode val="edge"/>
          <c:yMode val="edge"/>
          <c:x val="0.61911403931651432"/>
          <c:y val="0.18596425446819162"/>
          <c:w val="0.36705211848518926"/>
          <c:h val="0.58574261550639539"/>
        </c:manualLayout>
      </c:layout>
      <c:spPr>
        <a:effectLst/>
      </c:spPr>
      <c:txPr>
        <a:bodyPr/>
        <a:lstStyle/>
        <a:p>
          <a:pPr>
            <a:defRPr sz="920"/>
          </a:pPr>
          <a:endParaRPr lang="fr-FR"/>
        </a:p>
      </c:txPr>
    </c:legend>
    <c:plotVisOnly val="1"/>
    <c:dispBlanksAs val="zero"/>
  </c:chart>
  <c:spPr>
    <a:noFill/>
    <a:ln>
      <a:noFill/>
    </a:ln>
  </c:spPr>
  <c:printSettings>
    <c:headerFooter/>
    <c:pageMargins b="0.75000000000000033" l="0.70000000000000029" r="0.70000000000000029" t="0.75000000000000033" header="0.30000000000000016" footer="0.30000000000000016"/>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fr-FR"/>
  <c:chart>
    <c:plotArea>
      <c:layout>
        <c:manualLayout>
          <c:layoutTarget val="inner"/>
          <c:xMode val="edge"/>
          <c:yMode val="edge"/>
          <c:x val="0.17849439399104863"/>
          <c:y val="0.24409744279150863"/>
          <c:w val="0.79408311191070757"/>
          <c:h val="0.65933913523967436"/>
        </c:manualLayout>
      </c:layout>
      <c:barChart>
        <c:barDir val="bar"/>
        <c:grouping val="clustered"/>
        <c:ser>
          <c:idx val="1"/>
          <c:order val="0"/>
          <c:tx>
            <c:strRef>
              <c:f>synthese!$N$62</c:f>
              <c:strCache>
                <c:ptCount val="1"/>
                <c:pt idx="0">
                  <c:v>Hommes </c:v>
                </c:pt>
              </c:strCache>
            </c:strRef>
          </c:tx>
          <c:spPr>
            <a:solidFill>
              <a:srgbClr val="4F81BD"/>
            </a:solidFill>
            <a:ln>
              <a:noFill/>
            </a:ln>
            <a:effectLst/>
            <a:scene3d>
              <a:camera prst="orthographicFront"/>
              <a:lightRig rig="threePt" dir="t"/>
            </a:scene3d>
          </c:spP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Val val="1"/>
            <c:extLst xmlns:c16r2="http://schemas.microsoft.com/office/drawing/2015/06/chart">
              <c:ext xmlns:c15="http://schemas.microsoft.com/office/drawing/2012/chart" uri="{CE6537A1-D6FC-4f65-9D91-7224C49458BB}">
                <c15:layout/>
                <c15:showLeaderLines val="0"/>
              </c:ext>
            </c:extLst>
          </c:dLbls>
          <c:cat>
            <c:strRef>
              <c:f>synthese!$M$63:$M$65</c:f>
              <c:strCache>
                <c:ptCount val="3"/>
                <c:pt idx="0">
                  <c:v>moins de 30 ans</c:v>
                </c:pt>
                <c:pt idx="1">
                  <c:v>Entre 30 et 50 ans</c:v>
                </c:pt>
                <c:pt idx="2">
                  <c:v>Plus de 50 ans</c:v>
                </c:pt>
              </c:strCache>
            </c:strRef>
          </c:cat>
          <c:val>
            <c:numRef>
              <c:f>synthese!$N$63:$N$65</c:f>
              <c:numCache>
                <c:formatCode>0%;0%;;@</c:formatCode>
                <c:ptCount val="3"/>
                <c:pt idx="0">
                  <c:v>-2.3365300784655624E-2</c:v>
                </c:pt>
                <c:pt idx="1">
                  <c:v>-0.14856146469049694</c:v>
                </c:pt>
                <c:pt idx="2">
                  <c:v>-0.14158674803836094</c:v>
                </c:pt>
              </c:numCache>
            </c:numRef>
          </c:val>
          <c:extLst xmlns:c16r2="http://schemas.microsoft.com/office/drawing/2015/06/chart">
            <c:ext xmlns:c16="http://schemas.microsoft.com/office/drawing/2014/chart" uri="{C3380CC4-5D6E-409C-BE32-E72D297353CC}">
              <c16:uniqueId val="{00000000-544C-4AB8-8D20-FF16AB754437}"/>
            </c:ext>
          </c:extLst>
        </c:ser>
        <c:ser>
          <c:idx val="2"/>
          <c:order val="1"/>
          <c:tx>
            <c:strRef>
              <c:f>synthese!$O$62</c:f>
              <c:strCache>
                <c:ptCount val="1"/>
                <c:pt idx="0">
                  <c:v>Femmes </c:v>
                </c:pt>
              </c:strCache>
            </c:strRef>
          </c:tx>
          <c:spPr>
            <a:solidFill>
              <a:srgbClr val="8064A2"/>
            </a:solidFill>
            <a:ln>
              <a:noFill/>
            </a:ln>
            <a:effectLst/>
            <a:scene3d>
              <a:camera prst="orthographicFront"/>
              <a:lightRig rig="threePt" dir="t"/>
            </a:scene3d>
          </c:spP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Val val="1"/>
            <c:extLst xmlns:c16r2="http://schemas.microsoft.com/office/drawing/2015/06/chart">
              <c:ext xmlns:c15="http://schemas.microsoft.com/office/drawing/2012/chart" uri="{CE6537A1-D6FC-4f65-9D91-7224C49458BB}">
                <c15:layout/>
                <c15:showLeaderLines val="0"/>
              </c:ext>
            </c:extLst>
          </c:dLbls>
          <c:cat>
            <c:strRef>
              <c:f>synthese!$M$63:$M$65</c:f>
              <c:strCache>
                <c:ptCount val="3"/>
                <c:pt idx="0">
                  <c:v>moins de 30 ans</c:v>
                </c:pt>
                <c:pt idx="1">
                  <c:v>Entre 30 et 50 ans</c:v>
                </c:pt>
                <c:pt idx="2">
                  <c:v>Plus de 50 ans</c:v>
                </c:pt>
              </c:strCache>
            </c:strRef>
          </c:cat>
          <c:val>
            <c:numRef>
              <c:f>synthese!$O$63:$O$65</c:f>
              <c:numCache>
                <c:formatCode>0%;0%;;@</c:formatCode>
                <c:ptCount val="3"/>
                <c:pt idx="0">
                  <c:v>5.0566695727986048E-2</c:v>
                </c:pt>
                <c:pt idx="1">
                  <c:v>0.31299040976460329</c:v>
                </c:pt>
                <c:pt idx="2">
                  <c:v>0.32292938099389712</c:v>
                </c:pt>
              </c:numCache>
            </c:numRef>
          </c:val>
          <c:extLst xmlns:c16r2="http://schemas.microsoft.com/office/drawing/2015/06/chart">
            <c:ext xmlns:c16="http://schemas.microsoft.com/office/drawing/2014/chart" uri="{C3380CC4-5D6E-409C-BE32-E72D297353CC}">
              <c16:uniqueId val="{00000001-544C-4AB8-8D20-FF16AB754437}"/>
            </c:ext>
          </c:extLst>
        </c:ser>
        <c:gapWidth val="35"/>
        <c:overlap val="100"/>
        <c:axId val="297162240"/>
        <c:axId val="297163776"/>
      </c:barChart>
      <c:catAx>
        <c:axId val="297162240"/>
        <c:scaling>
          <c:orientation val="minMax"/>
        </c:scaling>
        <c:delete val="1"/>
        <c:axPos val="l"/>
        <c:numFmt formatCode="General" sourceLinked="1"/>
        <c:tickLblPos val="none"/>
        <c:crossAx val="297163776"/>
        <c:crosses val="autoZero"/>
        <c:auto val="1"/>
        <c:lblAlgn val="ctr"/>
        <c:lblOffset val="100"/>
      </c:catAx>
      <c:valAx>
        <c:axId val="297163776"/>
        <c:scaling>
          <c:orientation val="minMax"/>
        </c:scaling>
        <c:delete val="1"/>
        <c:axPos val="b"/>
        <c:majorGridlines>
          <c:spPr>
            <a:ln w="9525" cap="flat" cmpd="sng" algn="ctr">
              <a:solidFill>
                <a:schemeClr val="tx1">
                  <a:lumMod val="15000"/>
                  <a:lumOff val="85000"/>
                </a:schemeClr>
              </a:solidFill>
              <a:round/>
            </a:ln>
            <a:effectLst/>
          </c:spPr>
        </c:majorGridlines>
        <c:numFmt formatCode="0%;0%;;@" sourceLinked="1"/>
        <c:tickLblPos val="none"/>
        <c:crossAx val="297162240"/>
        <c:crosses val="autoZero"/>
        <c:crossBetween val="between"/>
      </c:valAx>
      <c:spPr>
        <a:noFill/>
        <a:ln w="25400">
          <a:noFill/>
        </a:ln>
      </c:spPr>
    </c:plotArea>
    <c:plotVisOnly val="1"/>
    <c:dispBlanksAs val="gap"/>
  </c:chart>
  <c:spPr>
    <a:noFill/>
    <a:ln w="9525">
      <a:noFill/>
    </a:ln>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fr-FR"/>
  <c:style val="26"/>
  <c:chart>
    <c:plotArea>
      <c:layout>
        <c:manualLayout>
          <c:layoutTarget val="inner"/>
          <c:xMode val="edge"/>
          <c:yMode val="edge"/>
          <c:x val="2.4150096964882344E-2"/>
          <c:y val="0.17790343097345263"/>
          <c:w val="0.92474808601447134"/>
          <c:h val="0.46262261459494697"/>
        </c:manualLayout>
      </c:layout>
      <c:barChart>
        <c:barDir val="col"/>
        <c:grouping val="clustered"/>
        <c:ser>
          <c:idx val="0"/>
          <c:order val="0"/>
          <c:tx>
            <c:strRef>
              <c:f>synthese!$BK$98</c:f>
              <c:strCache>
                <c:ptCount val="1"/>
                <c:pt idx="0">
                  <c:v>Fonctionnaires</c:v>
                </c:pt>
              </c:strCache>
            </c:strRef>
          </c:tx>
          <c:spPr>
            <a:solidFill>
              <a:srgbClr val="4BACC6"/>
            </a:solidFill>
            <a:ln w="12700">
              <a:solidFill>
                <a:srgbClr val="FFFFFF"/>
              </a:solidFill>
              <a:prstDash val="solid"/>
            </a:ln>
            <a:effectLst/>
            <a:scene3d>
              <a:camera prst="orthographicFront"/>
              <a:lightRig rig="threePt" dir="t">
                <a:rot lat="0" lon="0" rev="1200000"/>
              </a:lightRig>
            </a:scene3d>
            <a:sp3d/>
          </c:spPr>
          <c:dLbls>
            <c:numFmt formatCode="0%;\–0%;;@" sourceLinked="0"/>
            <c:spPr>
              <a:noFill/>
              <a:ln w="25400">
                <a:noFill/>
              </a:ln>
            </c:spPr>
            <c:dLblPos val="outEnd"/>
            <c:showVal val="1"/>
            <c:extLst xmlns:c16r2="http://schemas.microsoft.com/office/drawing/2015/06/chart">
              <c:ext xmlns:c15="http://schemas.microsoft.com/office/drawing/2012/chart" uri="{CE6537A1-D6FC-4f65-9D91-7224C49458BB}">
                <c15:layout/>
                <c15:showLeaderLines val="0"/>
              </c:ext>
            </c:extLst>
          </c:dLbls>
          <c:cat>
            <c:strRef>
              <c:f>synthese!$BJ$99:$BJ$101</c:f>
              <c:strCache>
                <c:ptCount val="3"/>
                <c:pt idx="0">
                  <c:v>Catégorie A</c:v>
                </c:pt>
                <c:pt idx="1">
                  <c:v>Catégorie B</c:v>
                </c:pt>
                <c:pt idx="2">
                  <c:v>Catégorie C</c:v>
                </c:pt>
              </c:strCache>
            </c:strRef>
          </c:cat>
          <c:val>
            <c:numRef>
              <c:f>synthese!$BK$99:$BK$101</c:f>
              <c:numCache>
                <c:formatCode>0%</c:formatCode>
                <c:ptCount val="3"/>
                <c:pt idx="0">
                  <c:v>0.64102564102564108</c:v>
                </c:pt>
                <c:pt idx="1">
                  <c:v>0.65196078431372551</c:v>
                </c:pt>
                <c:pt idx="2">
                  <c:v>0.41233283803863297</c:v>
                </c:pt>
              </c:numCache>
            </c:numRef>
          </c:val>
          <c:extLst xmlns:c16r2="http://schemas.microsoft.com/office/drawing/2015/06/chart">
            <c:ext xmlns:c16="http://schemas.microsoft.com/office/drawing/2014/chart" uri="{C3380CC4-5D6E-409C-BE32-E72D297353CC}">
              <c16:uniqueId val="{00000000-58FF-4899-95C2-CD90BDD44019}"/>
            </c:ext>
          </c:extLst>
        </c:ser>
        <c:ser>
          <c:idx val="1"/>
          <c:order val="1"/>
          <c:tx>
            <c:strRef>
              <c:f>synthese!$BL$98</c:f>
              <c:strCache>
                <c:ptCount val="1"/>
                <c:pt idx="0">
                  <c:v>Contractuels</c:v>
                </c:pt>
              </c:strCache>
            </c:strRef>
          </c:tx>
          <c:spPr>
            <a:solidFill>
              <a:srgbClr val="FFC000"/>
            </a:solidFill>
            <a:ln>
              <a:solidFill>
                <a:schemeClr val="bg1"/>
              </a:solidFill>
            </a:ln>
            <a:effectLst/>
            <a:scene3d>
              <a:camera prst="orthographicFront"/>
              <a:lightRig rig="threePt" dir="t">
                <a:rot lat="0" lon="0" rev="1200000"/>
              </a:lightRig>
            </a:scene3d>
            <a:sp3d/>
          </c:spPr>
          <c:dLbls>
            <c:numFmt formatCode="0%;\–0%;;@" sourceLinked="0"/>
            <c:spPr>
              <a:noFill/>
              <a:ln w="25400">
                <a:noFill/>
              </a:ln>
            </c:spPr>
            <c:dLblPos val="outEnd"/>
            <c:showVal val="1"/>
            <c:extLst xmlns:c16r2="http://schemas.microsoft.com/office/drawing/2015/06/chart">
              <c:ext xmlns:c15="http://schemas.microsoft.com/office/drawing/2012/chart" uri="{CE6537A1-D6FC-4f65-9D91-7224C49458BB}">
                <c15:layout/>
                <c15:showLeaderLines val="0"/>
              </c:ext>
            </c:extLst>
          </c:dLbls>
          <c:cat>
            <c:strRef>
              <c:f>synthese!$BJ$99:$BJ$101</c:f>
              <c:strCache>
                <c:ptCount val="3"/>
                <c:pt idx="0">
                  <c:v>Catégorie A</c:v>
                </c:pt>
                <c:pt idx="1">
                  <c:v>Catégorie B</c:v>
                </c:pt>
                <c:pt idx="2">
                  <c:v>Catégorie C</c:v>
                </c:pt>
              </c:strCache>
            </c:strRef>
          </c:cat>
          <c:val>
            <c:numRef>
              <c:f>synthese!$BL$99:$BL$101</c:f>
              <c:numCache>
                <c:formatCode>0%</c:formatCode>
                <c:ptCount val="3"/>
                <c:pt idx="0">
                  <c:v>0.63366336633663367</c:v>
                </c:pt>
                <c:pt idx="1">
                  <c:v>0.29599999999999999</c:v>
                </c:pt>
                <c:pt idx="2">
                  <c:v>0.30609212481426451</c:v>
                </c:pt>
              </c:numCache>
            </c:numRef>
          </c:val>
          <c:extLst xmlns:c16r2="http://schemas.microsoft.com/office/drawing/2015/06/chart">
            <c:ext xmlns:c16="http://schemas.microsoft.com/office/drawing/2014/chart" uri="{C3380CC4-5D6E-409C-BE32-E72D297353CC}">
              <c16:uniqueId val="{00000001-58FF-4899-95C2-CD90BDD44019}"/>
            </c:ext>
          </c:extLst>
        </c:ser>
        <c:axId val="297227392"/>
        <c:axId val="297228928"/>
      </c:barChart>
      <c:catAx>
        <c:axId val="297227392"/>
        <c:scaling>
          <c:orientation val="minMax"/>
        </c:scaling>
        <c:axPos val="b"/>
        <c:numFmt formatCode="General" sourceLinked="1"/>
        <c:tickLblPos val="nextTo"/>
        <c:crossAx val="297228928"/>
        <c:crosses val="autoZero"/>
        <c:auto val="1"/>
        <c:lblAlgn val="ctr"/>
        <c:lblOffset val="100"/>
      </c:catAx>
      <c:valAx>
        <c:axId val="297228928"/>
        <c:scaling>
          <c:orientation val="minMax"/>
          <c:max val="1"/>
        </c:scaling>
        <c:delete val="1"/>
        <c:axPos val="l"/>
        <c:numFmt formatCode="0%" sourceLinked="0"/>
        <c:tickLblPos val="none"/>
        <c:crossAx val="297227392"/>
        <c:crosses val="autoZero"/>
        <c:crossBetween val="between"/>
      </c:valAx>
      <c:spPr>
        <a:noFill/>
        <a:ln w="25400">
          <a:noFill/>
        </a:ln>
        <a:effectLst/>
      </c:spPr>
    </c:plotArea>
    <c:legend>
      <c:legendPos val="r"/>
      <c:layout>
        <c:manualLayout>
          <c:xMode val="edge"/>
          <c:yMode val="edge"/>
          <c:x val="2.0573066348902234E-2"/>
          <c:y val="0.79523181234019369"/>
          <c:w val="0.97558385320529295"/>
          <c:h val="0.19586064562442521"/>
        </c:manualLayout>
      </c:layout>
    </c:legend>
    <c:plotVisOnly val="1"/>
    <c:dispBlanksAs val="gap"/>
  </c:chart>
  <c:spPr>
    <a:noFill/>
    <a:ln>
      <a:noFill/>
    </a:ln>
  </c:spPr>
  <c:txPr>
    <a:bodyPr/>
    <a:lstStyle/>
    <a:p>
      <a:pPr>
        <a:defRPr sz="900"/>
      </a:pPr>
      <a:endParaRPr lang="fr-FR"/>
    </a:p>
  </c:txPr>
  <c:printSettings>
    <c:headerFooter/>
    <c:pageMargins b="0.75000000000000033" l="0.70000000000000029" r="0.70000000000000029" t="0.75000000000000033" header="0.30000000000000016" footer="0.30000000000000016"/>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fr-FR"/>
  <c:chart>
    <c:autoTitleDeleted val="1"/>
    <c:plotArea>
      <c:layout>
        <c:manualLayout>
          <c:layoutTarget val="inner"/>
          <c:xMode val="edge"/>
          <c:yMode val="edge"/>
          <c:x val="0.35739628981098304"/>
          <c:y val="7.4074341407883729E-2"/>
          <c:w val="0.62996492538993898"/>
          <c:h val="0.84167468649752175"/>
        </c:manualLayout>
      </c:layout>
      <c:barChart>
        <c:barDir val="bar"/>
        <c:grouping val="clustered"/>
        <c:ser>
          <c:idx val="0"/>
          <c:order val="0"/>
          <c:tx>
            <c:v>ETPR</c:v>
          </c:tx>
          <c:spPr>
            <a:solidFill>
              <a:schemeClr val="accent1"/>
            </a:solidFill>
            <a:ln>
              <a:noFill/>
            </a:ln>
            <a:effectLst/>
          </c:spPr>
          <c:dPt>
            <c:idx val="0"/>
            <c:spPr>
              <a:solidFill>
                <a:srgbClr val="9BBB59"/>
              </a:solidFill>
              <a:ln>
                <a:noFill/>
              </a:ln>
              <a:effectLst/>
            </c:spPr>
            <c:extLst xmlns:c16r2="http://schemas.microsoft.com/office/drawing/2015/06/chart">
              <c:ext xmlns:c16="http://schemas.microsoft.com/office/drawing/2014/chart" uri="{C3380CC4-5D6E-409C-BE32-E72D297353CC}">
                <c16:uniqueId val="{00000001-0D3C-4A8A-A5B5-1F5C39119DD5}"/>
              </c:ext>
            </c:extLst>
          </c:dPt>
          <c:dPt>
            <c:idx val="1"/>
            <c:spPr>
              <a:solidFill>
                <a:srgbClr val="4F81BD"/>
              </a:solidFill>
              <a:ln>
                <a:noFill/>
              </a:ln>
              <a:effectLst/>
            </c:spPr>
            <c:extLst xmlns:c16r2="http://schemas.microsoft.com/office/drawing/2015/06/chart">
              <c:ext xmlns:c16="http://schemas.microsoft.com/office/drawing/2014/chart" uri="{C3380CC4-5D6E-409C-BE32-E72D297353CC}">
                <c16:uniqueId val="{00000003-0D3C-4A8A-A5B5-1F5C39119DD5}"/>
              </c:ext>
            </c:extLst>
          </c:dPt>
          <c:dPt>
            <c:idx val="2"/>
            <c:spPr>
              <a:solidFill>
                <a:srgbClr val="C00000"/>
              </a:solidFill>
              <a:ln>
                <a:noFill/>
              </a:ln>
              <a:effectLst/>
            </c:spPr>
            <c:extLst xmlns:c16r2="http://schemas.microsoft.com/office/drawing/2015/06/chart">
              <c:ext xmlns:c16="http://schemas.microsoft.com/office/drawing/2014/chart" uri="{C3380CC4-5D6E-409C-BE32-E72D297353CC}">
                <c16:uniqueId val="{00000005-0D3C-4A8A-A5B5-1F5C39119DD5}"/>
              </c:ext>
            </c:extLst>
          </c:dPt>
          <c:dLbls>
            <c:dLbl>
              <c:idx val="0"/>
              <c:layout>
                <c:manualLayout>
                  <c:x val="4.956424765602397E-2"/>
                  <c:y val="-1.9926726133038392E-2"/>
                </c:manualLayout>
              </c:layout>
              <c:tx>
                <c:strRef>
                  <c:f>synthese!$F$86</c:f>
                  <c:strCache>
                    <c:ptCount val="1"/>
                    <c:pt idx="0">
                      <c:v>4256,41 ETPR</c:v>
                    </c:pt>
                  </c:strCache>
                </c:strRef>
              </c:tx>
              <c:dLblPos val="outEnd"/>
              <c:showVal val="1"/>
              <c:separator> </c:separator>
              <c:extLst xmlns:c16r2="http://schemas.microsoft.com/office/drawing/2015/06/chart">
                <c:ext xmlns:c15="http://schemas.microsoft.com/office/drawing/2012/chart" uri="{CE6537A1-D6FC-4f65-9D91-7224C49458BB}">
                  <c15:layout>
                    <c:manualLayout>
                      <c:w val="0.25490495795332174"/>
                      <c:h val="0.28194480161791641"/>
                    </c:manualLayout>
                  </c15:layout>
                  <c15:dlblFieldTable>
                    <c15:dlblFTEntry>
                      <c15:txfldGUID>{2AC4566D-4D84-4B06-93AC-0EB40FE2DEE9}</c15:txfldGUID>
                      <c15:f>synthese!$F$86</c15:f>
                      <c15:dlblFieldTableCache>
                        <c:ptCount val="1"/>
                        <c:pt idx="0">
                          <c:v>4256,41 ETPR</c:v>
                        </c:pt>
                      </c15:dlblFieldTableCache>
                    </c15:dlblFTEntry>
                  </c15:dlblFieldTable>
                  <c15:showDataLabelsRange val="0"/>
                </c:ext>
                <c:ext xmlns:c16="http://schemas.microsoft.com/office/drawing/2014/chart" uri="{C3380CC4-5D6E-409C-BE32-E72D297353CC}">
                  <c16:uniqueId val="{00000001-0D3C-4A8A-A5B5-1F5C39119DD5}"/>
                </c:ext>
              </c:extLst>
            </c:dLbl>
            <c:dLbl>
              <c:idx val="1"/>
              <c:tx>
                <c:strRef>
                  <c:f>synthese!$F$87</c:f>
                  <c:strCache>
                    <c:ptCount val="1"/>
                    <c:pt idx="0">
                      <c:v>480,42 ETPR</c:v>
                    </c:pt>
                  </c:strCache>
                </c:strRef>
              </c:tx>
              <c:dLblPos val="outEnd"/>
              <c:showVal val="1"/>
              <c:separator> </c:separator>
              <c:extLst xmlns:c16r2="http://schemas.microsoft.com/office/drawing/2015/06/chart">
                <c:ext xmlns:c15="http://schemas.microsoft.com/office/drawing/2012/chart" uri="{CE6537A1-D6FC-4f65-9D91-7224C49458BB}">
                  <c15:layout/>
                  <c15:dlblFieldTable>
                    <c15:dlblFTEntry>
                      <c15:txfldGUID>{F9109738-29F7-4AAA-9BAE-357643B5EA39}</c15:txfldGUID>
                      <c15:f>synthese!$F$87</c15:f>
                      <c15:dlblFieldTableCache>
                        <c:ptCount val="1"/>
                        <c:pt idx="0">
                          <c:v>480,42 ETPR</c:v>
                        </c:pt>
                      </c15:dlblFieldTableCache>
                    </c15:dlblFTEntry>
                  </c15:dlblFieldTable>
                  <c15:showDataLabelsRange val="0"/>
                </c:ext>
                <c:ext xmlns:c16="http://schemas.microsoft.com/office/drawing/2014/chart" uri="{C3380CC4-5D6E-409C-BE32-E72D297353CC}">
                  <c16:uniqueId val="{00000003-0D3C-4A8A-A5B5-1F5C39119DD5}"/>
                </c:ext>
              </c:extLst>
            </c:dLbl>
            <c:dLbl>
              <c:idx val="2"/>
              <c:tx>
                <c:strRef>
                  <c:f>synthese!$F$88</c:f>
                  <c:strCache>
                    <c:ptCount val="1"/>
                    <c:pt idx="0">
                      <c:v>469,34 ETPR</c:v>
                    </c:pt>
                  </c:strCache>
                </c:strRef>
              </c:tx>
              <c:dLblPos val="outEnd"/>
              <c:showVal val="1"/>
              <c:separator> </c:separator>
              <c:extLst xmlns:c16r2="http://schemas.microsoft.com/office/drawing/2015/06/chart">
                <c:ext xmlns:c15="http://schemas.microsoft.com/office/drawing/2012/chart" uri="{CE6537A1-D6FC-4f65-9D91-7224C49458BB}">
                  <c15:layout/>
                  <c15:dlblFieldTable>
                    <c15:dlblFTEntry>
                      <c15:txfldGUID>{0B6E5851-DAA6-4E34-B530-29B884C0BC3A}</c15:txfldGUID>
                      <c15:f>synthese!$F$88</c15:f>
                      <c15:dlblFieldTableCache>
                        <c:ptCount val="1"/>
                        <c:pt idx="0">
                          <c:v>469,34 ETPR</c:v>
                        </c:pt>
                      </c15:dlblFieldTableCache>
                    </c15:dlblFTEntry>
                  </c15:dlblFieldTable>
                  <c15:showDataLabelsRange val="0"/>
                </c:ext>
                <c:ext xmlns:c16="http://schemas.microsoft.com/office/drawing/2014/chart" uri="{C3380CC4-5D6E-409C-BE32-E72D297353CC}">
                  <c16:uniqueId val="{00000005-0D3C-4A8A-A5B5-1F5C39119D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Val val="1"/>
            <c:separator> </c:separator>
            <c:extLst xmlns:c16r2="http://schemas.microsoft.com/office/drawing/2015/06/chart">
              <c:ext xmlns:c15="http://schemas.microsoft.com/office/drawing/2012/chart" uri="{CE6537A1-D6FC-4f65-9D91-7224C49458BB}">
                <c15:showLeaderLines val="0"/>
              </c:ext>
            </c:extLst>
          </c:dLbls>
          <c:cat>
            <c:strRef>
              <c:f>synthese!$B$82:$B$84</c:f>
              <c:strCache>
                <c:ptCount val="3"/>
                <c:pt idx="0">
                  <c:v>Catégorie C</c:v>
                </c:pt>
                <c:pt idx="1">
                  <c:v>Catégorie B</c:v>
                </c:pt>
                <c:pt idx="2">
                  <c:v>Catégorie A</c:v>
                </c:pt>
              </c:strCache>
            </c:strRef>
          </c:cat>
          <c:val>
            <c:numRef>
              <c:f>synthese!$F$82:$F$84</c:f>
              <c:numCache>
                <c:formatCode>#,##0.00</c:formatCode>
                <c:ptCount val="3"/>
                <c:pt idx="0">
                  <c:v>4256.41</c:v>
                </c:pt>
                <c:pt idx="1">
                  <c:v>480.42</c:v>
                </c:pt>
                <c:pt idx="2">
                  <c:v>469.34</c:v>
                </c:pt>
              </c:numCache>
            </c:numRef>
          </c:val>
          <c:extLst xmlns:c16r2="http://schemas.microsoft.com/office/drawing/2015/06/chart">
            <c:ext xmlns:c16="http://schemas.microsoft.com/office/drawing/2014/chart" uri="{C3380CC4-5D6E-409C-BE32-E72D297353CC}">
              <c16:uniqueId val="{00000006-0D3C-4A8A-A5B5-1F5C39119DD5}"/>
            </c:ext>
          </c:extLst>
        </c:ser>
        <c:dLbls>
          <c:showVal val="1"/>
        </c:dLbls>
        <c:gapWidth val="64"/>
        <c:overlap val="92"/>
        <c:axId val="297351424"/>
        <c:axId val="297361408"/>
      </c:barChart>
      <c:catAx>
        <c:axId val="297351424"/>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97361408"/>
        <c:crosses val="autoZero"/>
        <c:auto val="1"/>
        <c:lblAlgn val="ctr"/>
        <c:lblOffset val="100"/>
      </c:catAx>
      <c:valAx>
        <c:axId val="297361408"/>
        <c:scaling>
          <c:orientation val="minMax"/>
        </c:scaling>
        <c:delete val="1"/>
        <c:axPos val="b"/>
        <c:numFmt formatCode="#,##0.00" sourceLinked="1"/>
        <c:majorTickMark val="none"/>
        <c:tickLblPos val="none"/>
        <c:crossAx val="297351424"/>
        <c:crosses val="autoZero"/>
        <c:crossBetween val="between"/>
      </c:valAx>
      <c:spPr>
        <a:noFill/>
        <a:ln w="25400">
          <a:noFill/>
        </a:ln>
        <a:effectLst/>
      </c:spPr>
    </c:plotArea>
    <c:plotVisOnly val="1"/>
    <c:dispBlanksAs val="gap"/>
  </c:chart>
  <c:spPr>
    <a:noFill/>
    <a:ln w="9525" cap="flat" cmpd="sng" algn="ctr">
      <a:noFill/>
      <a:round/>
    </a:ln>
    <a:effectLst/>
  </c:spPr>
  <c:txPr>
    <a:bodyPr/>
    <a:lstStyle/>
    <a:p>
      <a:pPr>
        <a:defRPr/>
      </a:pPr>
      <a:endParaRPr lang="fr-FR"/>
    </a:p>
  </c:txPr>
  <c:printSettings>
    <c:headerFooter/>
    <c:pageMargins b="0.75000000000000033" l="0.70000000000000029" r="0.70000000000000029" t="0.75000000000000033" header="0.30000000000000016" footer="0.30000000000000016"/>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image" Target="../media/image1.jpe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0" Type="http://schemas.openxmlformats.org/officeDocument/2006/relationships/chart" Target="../charts/chart9.xml"/><Relationship Id="rId4" Type="http://schemas.openxmlformats.org/officeDocument/2006/relationships/chart" Target="../charts/chart4.xml"/><Relationship Id="rId9" Type="http://schemas.openxmlformats.org/officeDocument/2006/relationships/chart" Target="../charts/chart8.xm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2</xdr:col>
      <xdr:colOff>514350</xdr:colOff>
      <xdr:row>15</xdr:row>
      <xdr:rowOff>19050</xdr:rowOff>
    </xdr:from>
    <xdr:to>
      <xdr:col>4</xdr:col>
      <xdr:colOff>838200</xdr:colOff>
      <xdr:row>18</xdr:row>
      <xdr:rowOff>28575</xdr:rowOff>
    </xdr:to>
    <xdr:sp macro="[0]!GENExportationQuestionnaire" textlink="">
      <xdr:nvSpPr>
        <xdr:cNvPr id="1028" name="AutoShape 4">
          <a:extLst>
            <a:ext uri="{FF2B5EF4-FFF2-40B4-BE49-F238E27FC236}">
              <a16:creationId xmlns:a16="http://schemas.microsoft.com/office/drawing/2014/main" xmlns="" id="{00000000-0008-0000-0000-000004040000}"/>
            </a:ext>
          </a:extLst>
        </xdr:cNvPr>
        <xdr:cNvSpPr>
          <a:spLocks noChangeArrowheads="1"/>
        </xdr:cNvSpPr>
      </xdr:nvSpPr>
      <xdr:spPr bwMode="auto">
        <a:xfrm>
          <a:off x="2209800" y="3324225"/>
          <a:ext cx="2019300" cy="504825"/>
        </a:xfrm>
        <a:prstGeom prst="roundRect">
          <a:avLst>
            <a:gd name="adj" fmla="val 16667"/>
          </a:avLst>
        </a:prstGeom>
        <a:solidFill>
          <a:schemeClr val="accent5">
            <a:lumMod val="20000"/>
            <a:lumOff val="80000"/>
          </a:schemeClr>
        </a:solidFill>
        <a:ln>
          <a:headEnd/>
          <a:tailEnd/>
        </a:ln>
      </xdr:spPr>
      <xdr:style>
        <a:lnRef idx="2">
          <a:schemeClr val="accent5"/>
        </a:lnRef>
        <a:fillRef idx="1">
          <a:schemeClr val="lt1"/>
        </a:fillRef>
        <a:effectRef idx="0">
          <a:schemeClr val="accent5"/>
        </a:effectRef>
        <a:fontRef idx="minor">
          <a:schemeClr val="dk1"/>
        </a:fontRef>
      </xdr:style>
      <xdr:txBody>
        <a:bodyPr vertOverflow="clip" wrap="square" lIns="27432" tIns="22860" rIns="27432" bIns="22860" anchor="ctr" upright="1"/>
        <a:lstStyle/>
        <a:p>
          <a:pPr algn="ctr" rtl="0">
            <a:lnSpc>
              <a:spcPts val="1100"/>
            </a:lnSpc>
            <a:defRPr sz="1000"/>
          </a:pPr>
          <a:r>
            <a:rPr lang="fr-FR" sz="1000" b="1" i="0" u="none" strike="noStrike" baseline="0">
              <a:solidFill>
                <a:srgbClr val="000000"/>
              </a:solidFill>
              <a:latin typeface="Arial"/>
              <a:cs typeface="Arial"/>
            </a:rPr>
            <a:t>Exporter les données</a:t>
          </a:r>
        </a:p>
        <a:p>
          <a:pPr algn="ctr" rtl="0">
            <a:lnSpc>
              <a:spcPts val="1100"/>
            </a:lnSpc>
            <a:defRPr sz="1000"/>
          </a:pPr>
          <a:r>
            <a:rPr lang="fr-FR" sz="1000" b="1" i="0" u="none" strike="noStrike" baseline="0">
              <a:solidFill>
                <a:srgbClr val="000000"/>
              </a:solidFill>
              <a:latin typeface="Arial"/>
              <a:cs typeface="Arial"/>
            </a:rPr>
            <a:t>vers un fichier texte</a:t>
          </a:r>
        </a:p>
      </xdr:txBody>
    </xdr:sp>
    <xdr:clientData/>
  </xdr:twoCellAnchor>
  <xdr:twoCellAnchor editAs="absolute">
    <xdr:from>
      <xdr:col>2</xdr:col>
      <xdr:colOff>514350</xdr:colOff>
      <xdr:row>30</xdr:row>
      <xdr:rowOff>0</xdr:rowOff>
    </xdr:from>
    <xdr:to>
      <xdr:col>4</xdr:col>
      <xdr:colOff>838200</xdr:colOff>
      <xdr:row>33</xdr:row>
      <xdr:rowOff>19050</xdr:rowOff>
    </xdr:to>
    <xdr:sp macro="[0]!GENImportationQuestionnaire" textlink="">
      <xdr:nvSpPr>
        <xdr:cNvPr id="1029" name="AutoShape 5">
          <a:extLst>
            <a:ext uri="{FF2B5EF4-FFF2-40B4-BE49-F238E27FC236}">
              <a16:creationId xmlns:a16="http://schemas.microsoft.com/office/drawing/2014/main" xmlns="" id="{00000000-0008-0000-0000-000005040000}"/>
            </a:ext>
          </a:extLst>
        </xdr:cNvPr>
        <xdr:cNvSpPr>
          <a:spLocks noChangeArrowheads="1"/>
        </xdr:cNvSpPr>
      </xdr:nvSpPr>
      <xdr:spPr bwMode="auto">
        <a:xfrm>
          <a:off x="2209800" y="5781675"/>
          <a:ext cx="2019300" cy="504825"/>
        </a:xfrm>
        <a:prstGeom prst="roundRect">
          <a:avLst>
            <a:gd name="adj" fmla="val 16667"/>
          </a:avLst>
        </a:prstGeom>
        <a:solidFill>
          <a:schemeClr val="accent5">
            <a:lumMod val="20000"/>
            <a:lumOff val="80000"/>
          </a:schemeClr>
        </a:solidFill>
        <a:ln>
          <a:headEnd/>
          <a:tailEnd/>
        </a:ln>
      </xdr:spPr>
      <xdr:style>
        <a:lnRef idx="2">
          <a:schemeClr val="accent5"/>
        </a:lnRef>
        <a:fillRef idx="1">
          <a:schemeClr val="lt1"/>
        </a:fillRef>
        <a:effectRef idx="0">
          <a:schemeClr val="accent5"/>
        </a:effectRef>
        <a:fontRef idx="minor">
          <a:schemeClr val="dk1"/>
        </a:fontRef>
      </xdr:style>
      <xdr:txBody>
        <a:bodyPr vertOverflow="clip" wrap="square" lIns="27432" tIns="22860" rIns="27432" bIns="22860" anchor="ctr" upright="1"/>
        <a:lstStyle/>
        <a:p>
          <a:pPr algn="ctr" rtl="0">
            <a:lnSpc>
              <a:spcPts val="1100"/>
            </a:lnSpc>
            <a:defRPr sz="1000"/>
          </a:pPr>
          <a:r>
            <a:rPr lang="fr-FR" sz="1000" b="1" i="0" u="none" strike="noStrike" baseline="0">
              <a:solidFill>
                <a:srgbClr val="000000"/>
              </a:solidFill>
              <a:latin typeface="Arial"/>
              <a:cs typeface="Arial"/>
            </a:rPr>
            <a:t>Importer les données</a:t>
          </a:r>
        </a:p>
        <a:p>
          <a:pPr algn="ctr" rtl="0">
            <a:lnSpc>
              <a:spcPts val="1100"/>
            </a:lnSpc>
            <a:defRPr sz="1000"/>
          </a:pPr>
          <a:r>
            <a:rPr lang="fr-FR" sz="1000" b="1" i="0" u="none" strike="noStrike" baseline="0">
              <a:solidFill>
                <a:srgbClr val="000000"/>
              </a:solidFill>
              <a:latin typeface="Arial"/>
              <a:cs typeface="Arial"/>
            </a:rPr>
            <a:t>à partir d'un fichier texte</a:t>
          </a:r>
        </a:p>
      </xdr:txBody>
    </xdr:sp>
    <xdr:clientData/>
  </xdr:twoCellAnchor>
  <xdr:twoCellAnchor editAs="oneCell">
    <xdr:from>
      <xdr:col>0</xdr:col>
      <xdr:colOff>695325</xdr:colOff>
      <xdr:row>0</xdr:row>
      <xdr:rowOff>133350</xdr:rowOff>
    </xdr:from>
    <xdr:to>
      <xdr:col>7</xdr:col>
      <xdr:colOff>153322</xdr:colOff>
      <xdr:row>6</xdr:row>
      <xdr:rowOff>768553</xdr:rowOff>
    </xdr:to>
    <xdr:pic>
      <xdr:nvPicPr>
        <xdr:cNvPr id="3" name="Imag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695325" y="133350"/>
          <a:ext cx="5392072" cy="1654378"/>
        </a:xfrm>
        <a:prstGeom prst="rect">
          <a:avLst/>
        </a:prstGeom>
      </xdr:spPr>
    </xdr:pic>
    <xdr:clientData/>
  </xdr:twoCellAnchor>
  <xdr:twoCellAnchor>
    <xdr:from>
      <xdr:col>10</xdr:col>
      <xdr:colOff>438150</xdr:colOff>
      <xdr:row>21</xdr:row>
      <xdr:rowOff>104775</xdr:rowOff>
    </xdr:from>
    <xdr:to>
      <xdr:col>14</xdr:col>
      <xdr:colOff>438150</xdr:colOff>
      <xdr:row>26</xdr:row>
      <xdr:rowOff>0</xdr:rowOff>
    </xdr:to>
    <xdr:sp macro="[0]!Cliquer" textlink="">
      <xdr:nvSpPr>
        <xdr:cNvPr id="5" name="Rectangle : coins arrondis 1">
          <a:extLst>
            <a:ext uri="{FF2B5EF4-FFF2-40B4-BE49-F238E27FC236}">
              <a16:creationId xmlns:a16="http://schemas.microsoft.com/office/drawing/2014/main" xmlns="" id="{00000000-0008-0000-0000-000005000000}"/>
            </a:ext>
          </a:extLst>
        </xdr:cNvPr>
        <xdr:cNvSpPr/>
      </xdr:nvSpPr>
      <xdr:spPr bwMode="auto">
        <a:xfrm>
          <a:off x="8667750" y="3609975"/>
          <a:ext cx="2895600" cy="752475"/>
        </a:xfrm>
        <a:prstGeom prst="roundRect">
          <a:avLst/>
        </a:prstGeom>
        <a:ln>
          <a:headEnd type="none" w="med" len="med"/>
          <a:tailEnd type="none" w="med" len="med"/>
        </a:ln>
      </xdr:spPr>
      <xdr:style>
        <a:lnRef idx="0">
          <a:schemeClr val="accent1"/>
        </a:lnRef>
        <a:fillRef idx="3">
          <a:schemeClr val="accent1"/>
        </a:fillRef>
        <a:effectRef idx="3">
          <a:schemeClr val="accent1"/>
        </a:effectRef>
        <a:fontRef idx="minor">
          <a:schemeClr val="lt1"/>
        </a:fontRef>
      </xdr:style>
      <xdr:txBody>
        <a:bodyPr vertOverflow="clip" wrap="square" lIns="18288" tIns="0" rIns="0" bIns="0" rtlCol="0" anchor="ctr" upright="1"/>
        <a:lstStyle/>
        <a:p>
          <a:pPr algn="ctr"/>
          <a:r>
            <a:rPr lang="fr-FR" sz="2000"/>
            <a:t>Accéder</a:t>
          </a:r>
          <a:r>
            <a:rPr lang="fr-FR" sz="2000" baseline="0"/>
            <a:t> à</a:t>
          </a:r>
          <a:r>
            <a:rPr lang="fr-FR" sz="2000"/>
            <a:t> votre synthèse</a:t>
          </a:r>
        </a:p>
      </xdr:txBody>
    </xdr:sp>
    <xdr:clientData/>
  </xdr:twoCellAnchor>
  <xdr:twoCellAnchor editAs="oneCell">
    <xdr:from>
      <xdr:col>16</xdr:col>
      <xdr:colOff>60203</xdr:colOff>
      <xdr:row>10</xdr:row>
      <xdr:rowOff>55616</xdr:rowOff>
    </xdr:from>
    <xdr:to>
      <xdr:col>18</xdr:col>
      <xdr:colOff>405743</xdr:colOff>
      <xdr:row>25</xdr:row>
      <xdr:rowOff>114743</xdr:rowOff>
    </xdr:to>
    <xdr:pic>
      <xdr:nvPicPr>
        <xdr:cNvPr id="2" name="Imag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2"/>
        <a:stretch>
          <a:fillRect/>
        </a:stretch>
      </xdr:blipFill>
      <xdr:spPr>
        <a:xfrm rot="1142251">
          <a:off x="12633203" y="2522591"/>
          <a:ext cx="1793340" cy="2526102"/>
        </a:xfrm>
        <a:prstGeom prst="rect">
          <a:avLst/>
        </a:prstGeom>
        <a:ln>
          <a:noFill/>
        </a:ln>
        <a:effectLst>
          <a:outerShdw blurRad="292100" dist="139700" dir="2700000" algn="tl" rotWithShape="0">
            <a:srgbClr val="333333">
              <a:alpha val="65000"/>
            </a:srgbClr>
          </a:outerShdw>
        </a:effectLst>
      </xdr:spPr>
    </xdr:pic>
    <xdr:clientData/>
  </xdr:twoCellAnchor>
  <xdr:twoCellAnchor editAs="absolute">
    <xdr:from>
      <xdr:col>2</xdr:col>
      <xdr:colOff>381000</xdr:colOff>
      <xdr:row>35</xdr:row>
      <xdr:rowOff>257175</xdr:rowOff>
    </xdr:from>
    <xdr:to>
      <xdr:col>5</xdr:col>
      <xdr:colOff>171450</xdr:colOff>
      <xdr:row>38</xdr:row>
      <xdr:rowOff>114300</xdr:rowOff>
    </xdr:to>
    <xdr:sp macro="[0]!Module2.ouvre" textlink="">
      <xdr:nvSpPr>
        <xdr:cNvPr id="9" name="AutoShape 5">
          <a:extLst>
            <a:ext uri="{FF2B5EF4-FFF2-40B4-BE49-F238E27FC236}">
              <a16:creationId xmlns:a16="http://schemas.microsoft.com/office/drawing/2014/main" xmlns="" id="{00000000-0008-0000-0000-000009000000}"/>
            </a:ext>
          </a:extLst>
        </xdr:cNvPr>
        <xdr:cNvSpPr>
          <a:spLocks noChangeArrowheads="1"/>
        </xdr:cNvSpPr>
      </xdr:nvSpPr>
      <xdr:spPr bwMode="auto">
        <a:xfrm>
          <a:off x="2076450" y="6848475"/>
          <a:ext cx="2333625" cy="504825"/>
        </a:xfrm>
        <a:prstGeom prst="roundRect">
          <a:avLst>
            <a:gd name="adj" fmla="val 16667"/>
          </a:avLst>
        </a:prstGeom>
        <a:solidFill>
          <a:schemeClr val="accent5">
            <a:lumMod val="20000"/>
            <a:lumOff val="80000"/>
          </a:schemeClr>
        </a:solidFill>
        <a:ln w="28575">
          <a:solidFill>
            <a:schemeClr val="accent5"/>
          </a:solidFill>
          <a:round/>
          <a:headEnd/>
          <a:tailEnd/>
        </a:ln>
      </xdr:spPr>
      <xdr:txBody>
        <a:bodyPr vertOverflow="clip" wrap="square" lIns="27432" tIns="22860" rIns="27432" bIns="22860" anchor="ctr" upright="1"/>
        <a:lstStyle/>
        <a:p>
          <a:pPr algn="ctr" rtl="0">
            <a:lnSpc>
              <a:spcPts val="1100"/>
            </a:lnSpc>
            <a:defRPr sz="1000"/>
          </a:pPr>
          <a:r>
            <a:rPr lang="fr-FR" sz="1000" b="1" i="0" u="none" strike="noStrike" baseline="0">
              <a:solidFill>
                <a:srgbClr val="000000"/>
              </a:solidFill>
              <a:latin typeface="Arial"/>
              <a:cs typeface="Arial"/>
            </a:rPr>
            <a:t>Importer les données</a:t>
          </a:r>
        </a:p>
        <a:p>
          <a:pPr algn="ctr" rtl="0">
            <a:lnSpc>
              <a:spcPts val="1100"/>
            </a:lnSpc>
            <a:defRPr sz="1000"/>
          </a:pPr>
          <a:r>
            <a:rPr lang="fr-FR" sz="1000" b="1" i="0" u="none" strike="noStrike" baseline="0">
              <a:solidFill>
                <a:srgbClr val="000000"/>
              </a:solidFill>
              <a:latin typeface="Arial"/>
              <a:cs typeface="Arial"/>
            </a:rPr>
            <a:t>RASSCT / HANDITORIAL / GPEEC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438979</xdr:colOff>
      <xdr:row>13</xdr:row>
      <xdr:rowOff>57979</xdr:rowOff>
    </xdr:from>
    <xdr:to>
      <xdr:col>10</xdr:col>
      <xdr:colOff>505239</xdr:colOff>
      <xdr:row>22</xdr:row>
      <xdr:rowOff>157369</xdr:rowOff>
    </xdr:to>
    <xdr:graphicFrame macro="">
      <xdr:nvGraphicFramePr>
        <xdr:cNvPr id="2" name="Graphique 2">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457201</xdr:colOff>
      <xdr:row>34</xdr:row>
      <xdr:rowOff>133766</xdr:rowOff>
    </xdr:from>
    <xdr:to>
      <xdr:col>10</xdr:col>
      <xdr:colOff>365678</xdr:colOff>
      <xdr:row>45</xdr:row>
      <xdr:rowOff>124241</xdr:rowOff>
    </xdr:to>
    <xdr:graphicFrame macro="">
      <xdr:nvGraphicFramePr>
        <xdr:cNvPr id="3" name="Graphique 43">
          <a:extLst>
            <a:ext uri="{FF2B5EF4-FFF2-40B4-BE49-F238E27FC236}">
              <a16:creationId xmlns:a16="http://schemas.microsoft.com/office/drawing/2014/main" xmlns=""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47</xdr:row>
      <xdr:rowOff>25262</xdr:rowOff>
    </xdr:from>
    <xdr:to>
      <xdr:col>6</xdr:col>
      <xdr:colOff>161925</xdr:colOff>
      <xdr:row>55</xdr:row>
      <xdr:rowOff>8282</xdr:rowOff>
    </xdr:to>
    <xdr:graphicFrame macro="">
      <xdr:nvGraphicFramePr>
        <xdr:cNvPr id="4" name="Graphique 3">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149038</xdr:colOff>
      <xdr:row>4</xdr:row>
      <xdr:rowOff>131667</xdr:rowOff>
    </xdr:from>
    <xdr:to>
      <xdr:col>16</xdr:col>
      <xdr:colOff>582706</xdr:colOff>
      <xdr:row>13</xdr:row>
      <xdr:rowOff>122143</xdr:rowOff>
    </xdr:to>
    <xdr:graphicFrame macro="">
      <xdr:nvGraphicFramePr>
        <xdr:cNvPr id="5" name="Graphique 1">
          <a:extLst>
            <a:ext uri="{FF2B5EF4-FFF2-40B4-BE49-F238E27FC236}">
              <a16:creationId xmlns:a16="http://schemas.microsoft.com/office/drawing/2014/main" xmlns=""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11205</xdr:colOff>
      <xdr:row>4</xdr:row>
      <xdr:rowOff>95249</xdr:rowOff>
    </xdr:from>
    <xdr:to>
      <xdr:col>23</xdr:col>
      <xdr:colOff>0</xdr:colOff>
      <xdr:row>13</xdr:row>
      <xdr:rowOff>136524</xdr:rowOff>
    </xdr:to>
    <xdr:graphicFrame macro="">
      <xdr:nvGraphicFramePr>
        <xdr:cNvPr id="6" name="Graphique 31">
          <a:extLst>
            <a:ext uri="{FF2B5EF4-FFF2-40B4-BE49-F238E27FC236}">
              <a16:creationId xmlns:a16="http://schemas.microsoft.com/office/drawing/2014/main" xmlns=""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68</xdr:col>
      <xdr:colOff>219075</xdr:colOff>
      <xdr:row>7</xdr:row>
      <xdr:rowOff>66675</xdr:rowOff>
    </xdr:from>
    <xdr:to>
      <xdr:col>71</xdr:col>
      <xdr:colOff>438150</xdr:colOff>
      <xdr:row>15</xdr:row>
      <xdr:rowOff>28575</xdr:rowOff>
    </xdr:to>
    <xdr:graphicFrame macro="">
      <xdr:nvGraphicFramePr>
        <xdr:cNvPr id="7" name="Graphique 8">
          <a:extLst>
            <a:ext uri="{FF2B5EF4-FFF2-40B4-BE49-F238E27FC236}">
              <a16:creationId xmlns:a16="http://schemas.microsoft.com/office/drawing/2014/main" xmlns=""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61</xdr:col>
      <xdr:colOff>2</xdr:colOff>
      <xdr:row>0</xdr:row>
      <xdr:rowOff>9525</xdr:rowOff>
    </xdr:from>
    <xdr:to>
      <xdr:col>63</xdr:col>
      <xdr:colOff>1</xdr:colOff>
      <xdr:row>1</xdr:row>
      <xdr:rowOff>154781</xdr:rowOff>
    </xdr:to>
    <xdr:sp macro="" textlink="">
      <xdr:nvSpPr>
        <xdr:cNvPr id="8" name="ZoneTexte 7">
          <a:extLst>
            <a:ext uri="{FF2B5EF4-FFF2-40B4-BE49-F238E27FC236}">
              <a16:creationId xmlns:a16="http://schemas.microsoft.com/office/drawing/2014/main" xmlns="" id="{00000000-0008-0000-0100-000008000000}"/>
            </a:ext>
          </a:extLst>
        </xdr:cNvPr>
        <xdr:cNvSpPr txBox="1"/>
      </xdr:nvSpPr>
      <xdr:spPr>
        <a:xfrm>
          <a:off x="33486330" y="9525"/>
          <a:ext cx="1061640" cy="3040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Formation</a:t>
          </a:r>
          <a:endParaRPr lang="fr-FR" sz="1400" b="0" i="0" u="none" strike="noStrike" baseline="0">
            <a:solidFill>
              <a:schemeClr val="accent1">
                <a:lumMod val="75000"/>
              </a:schemeClr>
            </a:solidFill>
            <a:latin typeface="Century Gothic"/>
            <a:ea typeface="+mn-ea"/>
            <a:cs typeface="+mn-cs"/>
          </a:endParaRPr>
        </a:p>
      </xdr:txBody>
    </xdr:sp>
    <xdr:clientData/>
  </xdr:twoCellAnchor>
  <xdr:twoCellAnchor>
    <xdr:from>
      <xdr:col>61</xdr:col>
      <xdr:colOff>19048</xdr:colOff>
      <xdr:row>27</xdr:row>
      <xdr:rowOff>0</xdr:rowOff>
    </xdr:from>
    <xdr:to>
      <xdr:col>69</xdr:col>
      <xdr:colOff>496986</xdr:colOff>
      <xdr:row>28</xdr:row>
      <xdr:rowOff>161925</xdr:rowOff>
    </xdr:to>
    <xdr:sp macro="" textlink="">
      <xdr:nvSpPr>
        <xdr:cNvPr id="9" name="ZoneTexte 8">
          <a:extLst>
            <a:ext uri="{FF2B5EF4-FFF2-40B4-BE49-F238E27FC236}">
              <a16:creationId xmlns:a16="http://schemas.microsoft.com/office/drawing/2014/main" xmlns="" id="{00000000-0008-0000-0100-000009000000}"/>
            </a:ext>
          </a:extLst>
        </xdr:cNvPr>
        <xdr:cNvSpPr txBox="1"/>
      </xdr:nvSpPr>
      <xdr:spPr>
        <a:xfrm>
          <a:off x="33461323" y="4371975"/>
          <a:ext cx="4802288"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Action sociale et protection sociale complémentaire</a:t>
          </a:r>
        </a:p>
      </xdr:txBody>
    </xdr:sp>
    <xdr:clientData/>
  </xdr:twoCellAnchor>
  <xdr:twoCellAnchor>
    <xdr:from>
      <xdr:col>35</xdr:col>
      <xdr:colOff>19050</xdr:colOff>
      <xdr:row>0</xdr:row>
      <xdr:rowOff>0</xdr:rowOff>
    </xdr:from>
    <xdr:to>
      <xdr:col>39</xdr:col>
      <xdr:colOff>240300</xdr:colOff>
      <xdr:row>1</xdr:row>
      <xdr:rowOff>107025</xdr:rowOff>
    </xdr:to>
    <xdr:sp macro="" textlink="">
      <xdr:nvSpPr>
        <xdr:cNvPr id="10" name="ZoneTexte 9">
          <a:extLst>
            <a:ext uri="{FF2B5EF4-FFF2-40B4-BE49-F238E27FC236}">
              <a16:creationId xmlns:a16="http://schemas.microsoft.com/office/drawing/2014/main" xmlns="" id="{00000000-0008-0000-0100-00000A000000}"/>
            </a:ext>
          </a:extLst>
        </xdr:cNvPr>
        <xdr:cNvSpPr txBox="1"/>
      </xdr:nvSpPr>
      <xdr:spPr>
        <a:xfrm>
          <a:off x="20173950" y="0"/>
          <a:ext cx="2373900" cy="268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Budget et rémunérations</a:t>
          </a:r>
        </a:p>
      </xdr:txBody>
    </xdr:sp>
    <xdr:clientData/>
  </xdr:twoCellAnchor>
  <xdr:twoCellAnchor>
    <xdr:from>
      <xdr:col>1</xdr:col>
      <xdr:colOff>17807</xdr:colOff>
      <xdr:row>14</xdr:row>
      <xdr:rowOff>59220</xdr:rowOff>
    </xdr:from>
    <xdr:to>
      <xdr:col>3</xdr:col>
      <xdr:colOff>114962</xdr:colOff>
      <xdr:row>16</xdr:row>
      <xdr:rowOff>594</xdr:rowOff>
    </xdr:to>
    <xdr:sp macro="" textlink="">
      <xdr:nvSpPr>
        <xdr:cNvPr id="11" name="ZoneTexte 10">
          <a:extLst>
            <a:ext uri="{FF2B5EF4-FFF2-40B4-BE49-F238E27FC236}">
              <a16:creationId xmlns:a16="http://schemas.microsoft.com/office/drawing/2014/main" xmlns="" id="{00000000-0008-0000-0100-00000B000000}"/>
            </a:ext>
          </a:extLst>
        </xdr:cNvPr>
        <xdr:cNvSpPr txBox="1"/>
      </xdr:nvSpPr>
      <xdr:spPr>
        <a:xfrm>
          <a:off x="246407" y="2326170"/>
          <a:ext cx="935355" cy="2652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300"/>
            </a:lnSpc>
            <a:defRPr sz="1000"/>
          </a:pPr>
          <a:r>
            <a:rPr lang="fr-FR" sz="1400" b="1" i="0" u="none" strike="noStrike" baseline="0">
              <a:solidFill>
                <a:schemeClr val="accent1">
                  <a:lumMod val="75000"/>
                </a:schemeClr>
              </a:solidFill>
              <a:latin typeface="Century Gothic"/>
            </a:rPr>
            <a:t>Effectifs</a:t>
          </a:r>
        </a:p>
      </xdr:txBody>
    </xdr:sp>
    <xdr:clientData/>
  </xdr:twoCellAnchor>
  <xdr:twoCellAnchor>
    <xdr:from>
      <xdr:col>1</xdr:col>
      <xdr:colOff>19049</xdr:colOff>
      <xdr:row>32</xdr:row>
      <xdr:rowOff>42862</xdr:rowOff>
    </xdr:from>
    <xdr:to>
      <xdr:col>7</xdr:col>
      <xdr:colOff>262330</xdr:colOff>
      <xdr:row>33</xdr:row>
      <xdr:rowOff>149887</xdr:rowOff>
    </xdr:to>
    <xdr:sp macro="" textlink="">
      <xdr:nvSpPr>
        <xdr:cNvPr id="12" name="ZoneTexte 11">
          <a:extLst>
            <a:ext uri="{FF2B5EF4-FFF2-40B4-BE49-F238E27FC236}">
              <a16:creationId xmlns:a16="http://schemas.microsoft.com/office/drawing/2014/main" xmlns="" id="{00000000-0008-0000-0100-00000C000000}"/>
            </a:ext>
          </a:extLst>
        </xdr:cNvPr>
        <xdr:cNvSpPr txBox="1"/>
      </xdr:nvSpPr>
      <xdr:spPr>
        <a:xfrm>
          <a:off x="247649" y="5224462"/>
          <a:ext cx="3700856" cy="2689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300"/>
            </a:lnSpc>
            <a:defRPr sz="1000"/>
          </a:pPr>
          <a:r>
            <a:rPr lang="fr-FR" sz="1400" b="1" i="0" u="none" strike="noStrike" baseline="0">
              <a:solidFill>
                <a:schemeClr val="accent1">
                  <a:lumMod val="75000"/>
                </a:schemeClr>
              </a:solidFill>
              <a:latin typeface="Century Gothic"/>
            </a:rPr>
            <a:t>Caractéristiques des agents permanents</a:t>
          </a:r>
        </a:p>
      </xdr:txBody>
    </xdr:sp>
    <xdr:clientData/>
  </xdr:twoCellAnchor>
  <xdr:twoCellAnchor>
    <xdr:from>
      <xdr:col>11</xdr:col>
      <xdr:colOff>200024</xdr:colOff>
      <xdr:row>22</xdr:row>
      <xdr:rowOff>0</xdr:rowOff>
    </xdr:from>
    <xdr:to>
      <xdr:col>15</xdr:col>
      <xdr:colOff>59868</xdr:colOff>
      <xdr:row>23</xdr:row>
      <xdr:rowOff>107156</xdr:rowOff>
    </xdr:to>
    <xdr:sp macro="" textlink="">
      <xdr:nvSpPr>
        <xdr:cNvPr id="13" name="ZoneTexte 12">
          <a:extLst>
            <a:ext uri="{FF2B5EF4-FFF2-40B4-BE49-F238E27FC236}">
              <a16:creationId xmlns:a16="http://schemas.microsoft.com/office/drawing/2014/main" xmlns="" id="{00000000-0008-0000-0100-00000D000000}"/>
            </a:ext>
          </a:extLst>
        </xdr:cNvPr>
        <xdr:cNvSpPr txBox="1"/>
      </xdr:nvSpPr>
      <xdr:spPr>
        <a:xfrm>
          <a:off x="6810374" y="3562350"/>
          <a:ext cx="1860094" cy="269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300"/>
            </a:lnSpc>
            <a:defRPr sz="1000"/>
          </a:pPr>
          <a:r>
            <a:rPr lang="fr-FR" sz="1400" b="1" i="0" u="none" strike="noStrike" baseline="0">
              <a:solidFill>
                <a:schemeClr val="accent1">
                  <a:lumMod val="75000"/>
                </a:schemeClr>
              </a:solidFill>
              <a:latin typeface="Century Gothic"/>
            </a:rPr>
            <a:t>Pyramide des âges</a:t>
          </a:r>
        </a:p>
      </xdr:txBody>
    </xdr:sp>
    <xdr:clientData/>
  </xdr:twoCellAnchor>
  <xdr:twoCellAnchor>
    <xdr:from>
      <xdr:col>12</xdr:col>
      <xdr:colOff>0</xdr:colOff>
      <xdr:row>0</xdr:row>
      <xdr:rowOff>21431</xdr:rowOff>
    </xdr:from>
    <xdr:to>
      <xdr:col>18</xdr:col>
      <xdr:colOff>231375</xdr:colOff>
      <xdr:row>1</xdr:row>
      <xdr:rowOff>119062</xdr:rowOff>
    </xdr:to>
    <xdr:sp macro="" textlink="">
      <xdr:nvSpPr>
        <xdr:cNvPr id="14" name="ZoneTexte 13">
          <a:extLst>
            <a:ext uri="{FF2B5EF4-FFF2-40B4-BE49-F238E27FC236}">
              <a16:creationId xmlns:a16="http://schemas.microsoft.com/office/drawing/2014/main" xmlns="" id="{00000000-0008-0000-0100-00000E000000}"/>
            </a:ext>
          </a:extLst>
        </xdr:cNvPr>
        <xdr:cNvSpPr txBox="1"/>
      </xdr:nvSpPr>
      <xdr:spPr>
        <a:xfrm>
          <a:off x="6838950" y="21431"/>
          <a:ext cx="3679425" cy="2595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300"/>
            </a:lnSpc>
            <a:defRPr sz="1000"/>
          </a:pPr>
          <a:r>
            <a:rPr lang="fr-FR" sz="1400" b="1" i="0" u="none" strike="noStrike" baseline="0">
              <a:solidFill>
                <a:schemeClr val="accent1">
                  <a:lumMod val="75000"/>
                </a:schemeClr>
              </a:solidFill>
              <a:latin typeface="Century Gothic"/>
            </a:rPr>
            <a:t>Temps de travail des agents permanents</a:t>
          </a:r>
        </a:p>
      </xdr:txBody>
    </xdr:sp>
    <xdr:clientData/>
  </xdr:twoCellAnchor>
  <xdr:twoCellAnchor>
    <xdr:from>
      <xdr:col>24</xdr:col>
      <xdr:colOff>0</xdr:colOff>
      <xdr:row>0</xdr:row>
      <xdr:rowOff>9525</xdr:rowOff>
    </xdr:from>
    <xdr:to>
      <xdr:col>25</xdr:col>
      <xdr:colOff>623217</xdr:colOff>
      <xdr:row>1</xdr:row>
      <xdr:rowOff>116550</xdr:rowOff>
    </xdr:to>
    <xdr:sp macro="" textlink="">
      <xdr:nvSpPr>
        <xdr:cNvPr id="15" name="ZoneTexte 14">
          <a:extLst>
            <a:ext uri="{FF2B5EF4-FFF2-40B4-BE49-F238E27FC236}">
              <a16:creationId xmlns:a16="http://schemas.microsoft.com/office/drawing/2014/main" xmlns="" id="{00000000-0008-0000-0100-00000F000000}"/>
            </a:ext>
          </a:extLst>
        </xdr:cNvPr>
        <xdr:cNvSpPr txBox="1"/>
      </xdr:nvSpPr>
      <xdr:spPr>
        <a:xfrm>
          <a:off x="13506450" y="9525"/>
          <a:ext cx="1318542" cy="268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300"/>
            </a:lnSpc>
            <a:defRPr sz="1000"/>
          </a:pPr>
          <a:r>
            <a:rPr lang="fr-FR" sz="1400" b="1" i="0" u="none" strike="noStrike" baseline="0">
              <a:solidFill>
                <a:schemeClr val="accent1">
                  <a:lumMod val="75000"/>
                </a:schemeClr>
              </a:solidFill>
              <a:latin typeface="Century Gothic"/>
            </a:rPr>
            <a:t>Mouvements </a:t>
          </a:r>
        </a:p>
      </xdr:txBody>
    </xdr:sp>
    <xdr:clientData/>
  </xdr:twoCellAnchor>
  <xdr:twoCellAnchor>
    <xdr:from>
      <xdr:col>23</xdr:col>
      <xdr:colOff>266699</xdr:colOff>
      <xdr:row>24</xdr:row>
      <xdr:rowOff>38100</xdr:rowOff>
    </xdr:from>
    <xdr:to>
      <xdr:col>27</xdr:col>
      <xdr:colOff>289464</xdr:colOff>
      <xdr:row>25</xdr:row>
      <xdr:rowOff>135600</xdr:rowOff>
    </xdr:to>
    <xdr:sp macro="" textlink="">
      <xdr:nvSpPr>
        <xdr:cNvPr id="16" name="ZoneTexte 15">
          <a:extLst>
            <a:ext uri="{FF2B5EF4-FFF2-40B4-BE49-F238E27FC236}">
              <a16:creationId xmlns:a16="http://schemas.microsoft.com/office/drawing/2014/main" xmlns="" id="{00000000-0008-0000-0100-000010000000}"/>
            </a:ext>
          </a:extLst>
        </xdr:cNvPr>
        <xdr:cNvSpPr txBox="1"/>
      </xdr:nvSpPr>
      <xdr:spPr>
        <a:xfrm>
          <a:off x="13506449" y="3924300"/>
          <a:ext cx="2375440" cy="259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300"/>
            </a:lnSpc>
            <a:defRPr sz="1000"/>
          </a:pPr>
          <a:r>
            <a:rPr lang="fr-FR" sz="1400" b="1" i="0" u="none" strike="noStrike" baseline="0">
              <a:solidFill>
                <a:schemeClr val="accent1">
                  <a:lumMod val="75000"/>
                </a:schemeClr>
              </a:solidFill>
              <a:latin typeface="Century Gothic"/>
            </a:rPr>
            <a:t>Évolution professionnelle</a:t>
          </a:r>
        </a:p>
      </xdr:txBody>
    </xdr:sp>
    <xdr:clientData/>
  </xdr:twoCellAnchor>
  <xdr:twoCellAnchor>
    <xdr:from>
      <xdr:col>49</xdr:col>
      <xdr:colOff>9525</xdr:colOff>
      <xdr:row>40</xdr:row>
      <xdr:rowOff>9525</xdr:rowOff>
    </xdr:from>
    <xdr:to>
      <xdr:col>50</xdr:col>
      <xdr:colOff>480028</xdr:colOff>
      <xdr:row>41</xdr:row>
      <xdr:rowOff>116550</xdr:rowOff>
    </xdr:to>
    <xdr:sp macro="" textlink="">
      <xdr:nvSpPr>
        <xdr:cNvPr id="17" name="ZoneTexte 16">
          <a:extLst>
            <a:ext uri="{FF2B5EF4-FFF2-40B4-BE49-F238E27FC236}">
              <a16:creationId xmlns:a16="http://schemas.microsoft.com/office/drawing/2014/main" xmlns="" id="{00000000-0008-0000-0100-000011000000}"/>
            </a:ext>
          </a:extLst>
        </xdr:cNvPr>
        <xdr:cNvSpPr txBox="1"/>
      </xdr:nvSpPr>
      <xdr:spPr>
        <a:xfrm>
          <a:off x="26784300" y="6486525"/>
          <a:ext cx="1042003" cy="268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Handicap</a:t>
          </a:r>
        </a:p>
      </xdr:txBody>
    </xdr:sp>
    <xdr:clientData/>
  </xdr:twoCellAnchor>
  <xdr:twoCellAnchor>
    <xdr:from>
      <xdr:col>61</xdr:col>
      <xdr:colOff>9523</xdr:colOff>
      <xdr:row>42</xdr:row>
      <xdr:rowOff>28575</xdr:rowOff>
    </xdr:from>
    <xdr:to>
      <xdr:col>64</xdr:col>
      <xdr:colOff>476023</xdr:colOff>
      <xdr:row>43</xdr:row>
      <xdr:rowOff>135600</xdr:rowOff>
    </xdr:to>
    <xdr:sp macro="" textlink="">
      <xdr:nvSpPr>
        <xdr:cNvPr id="18" name="ZoneTexte 17">
          <a:extLst>
            <a:ext uri="{FF2B5EF4-FFF2-40B4-BE49-F238E27FC236}">
              <a16:creationId xmlns:a16="http://schemas.microsoft.com/office/drawing/2014/main" xmlns="" id="{00000000-0008-0000-0100-000012000000}"/>
            </a:ext>
          </a:extLst>
        </xdr:cNvPr>
        <xdr:cNvSpPr txBox="1"/>
      </xdr:nvSpPr>
      <xdr:spPr>
        <a:xfrm>
          <a:off x="33451798" y="6829425"/>
          <a:ext cx="1809525" cy="268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Relations sociales</a:t>
          </a:r>
        </a:p>
      </xdr:txBody>
    </xdr:sp>
    <xdr:clientData/>
  </xdr:twoCellAnchor>
  <xdr:twoCellAnchor>
    <xdr:from>
      <xdr:col>73</xdr:col>
      <xdr:colOff>9525</xdr:colOff>
      <xdr:row>34</xdr:row>
      <xdr:rowOff>47625</xdr:rowOff>
    </xdr:from>
    <xdr:to>
      <xdr:col>74</xdr:col>
      <xdr:colOff>480028</xdr:colOff>
      <xdr:row>35</xdr:row>
      <xdr:rowOff>154650</xdr:rowOff>
    </xdr:to>
    <xdr:sp macro="" textlink="">
      <xdr:nvSpPr>
        <xdr:cNvPr id="19" name="ZoneTexte 18">
          <a:extLst>
            <a:ext uri="{FF2B5EF4-FFF2-40B4-BE49-F238E27FC236}">
              <a16:creationId xmlns:a16="http://schemas.microsoft.com/office/drawing/2014/main" xmlns="" id="{00000000-0008-0000-0100-000013000000}"/>
            </a:ext>
          </a:extLst>
        </xdr:cNvPr>
        <xdr:cNvSpPr txBox="1"/>
      </xdr:nvSpPr>
      <xdr:spPr>
        <a:xfrm>
          <a:off x="40128825" y="5553075"/>
          <a:ext cx="1165828" cy="268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Réalisation</a:t>
          </a:r>
        </a:p>
      </xdr:txBody>
    </xdr:sp>
    <xdr:clientData/>
  </xdr:twoCellAnchor>
  <xdr:twoCellAnchor>
    <xdr:from>
      <xdr:col>49</xdr:col>
      <xdr:colOff>0</xdr:colOff>
      <xdr:row>0</xdr:row>
      <xdr:rowOff>1</xdr:rowOff>
    </xdr:from>
    <xdr:to>
      <xdr:col>50</xdr:col>
      <xdr:colOff>496094</xdr:colOff>
      <xdr:row>2</xdr:row>
      <xdr:rowOff>11906</xdr:rowOff>
    </xdr:to>
    <xdr:sp macro="" textlink="">
      <xdr:nvSpPr>
        <xdr:cNvPr id="20" name="ZoneTexte 19">
          <a:extLst>
            <a:ext uri="{FF2B5EF4-FFF2-40B4-BE49-F238E27FC236}">
              <a16:creationId xmlns:a16="http://schemas.microsoft.com/office/drawing/2014/main" xmlns="" id="{00000000-0008-0000-0100-000014000000}"/>
            </a:ext>
          </a:extLst>
        </xdr:cNvPr>
        <xdr:cNvSpPr txBox="1"/>
      </xdr:nvSpPr>
      <xdr:spPr>
        <a:xfrm>
          <a:off x="26828750" y="1"/>
          <a:ext cx="1071563" cy="3294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Absences</a:t>
          </a:r>
          <a:endParaRPr lang="fr-FR" sz="1400" b="0" i="0" u="none" strike="noStrike" baseline="0">
            <a:solidFill>
              <a:schemeClr val="accent1">
                <a:lumMod val="75000"/>
              </a:schemeClr>
            </a:solidFill>
            <a:latin typeface="Century Gothic"/>
          </a:endParaRPr>
        </a:p>
      </xdr:txBody>
    </xdr:sp>
    <xdr:clientData/>
  </xdr:twoCellAnchor>
  <xdr:twoCellAnchor>
    <xdr:from>
      <xdr:col>16</xdr:col>
      <xdr:colOff>428625</xdr:colOff>
      <xdr:row>26</xdr:row>
      <xdr:rowOff>0</xdr:rowOff>
    </xdr:from>
    <xdr:to>
      <xdr:col>22</xdr:col>
      <xdr:colOff>590550</xdr:colOff>
      <xdr:row>38</xdr:row>
      <xdr:rowOff>19050</xdr:rowOff>
    </xdr:to>
    <xdr:graphicFrame macro="">
      <xdr:nvGraphicFramePr>
        <xdr:cNvPr id="21" name="Graphique 1">
          <a:extLst>
            <a:ext uri="{FF2B5EF4-FFF2-40B4-BE49-F238E27FC236}">
              <a16:creationId xmlns:a16="http://schemas.microsoft.com/office/drawing/2014/main" xmlns=""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20</xdr:col>
      <xdr:colOff>685800</xdr:colOff>
      <xdr:row>37</xdr:row>
      <xdr:rowOff>0</xdr:rowOff>
    </xdr:from>
    <xdr:to>
      <xdr:col>21</xdr:col>
      <xdr:colOff>572341</xdr:colOff>
      <xdr:row>37</xdr:row>
      <xdr:rowOff>133350</xdr:rowOff>
    </xdr:to>
    <xdr:pic>
      <xdr:nvPicPr>
        <xdr:cNvPr id="22" name="Image 3">
          <a:extLst>
            <a:ext uri="{FF2B5EF4-FFF2-40B4-BE49-F238E27FC236}">
              <a16:creationId xmlns:a16="http://schemas.microsoft.com/office/drawing/2014/main" xmlns="" id="{00000000-0008-0000-0100-00001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xmlns="" val="0"/>
            </a:ext>
          </a:extLst>
        </a:blip>
        <a:srcRect l="21011" t="90416" r="66924" b="4733"/>
        <a:stretch>
          <a:fillRect/>
        </a:stretch>
      </xdr:blipFill>
      <xdr:spPr bwMode="auto">
        <a:xfrm>
          <a:off x="12058650" y="5991225"/>
          <a:ext cx="572341" cy="133350"/>
        </a:xfrm>
        <a:prstGeom prst="rect">
          <a:avLst/>
        </a:prstGeom>
        <a:noFill/>
        <a:ln>
          <a:noFill/>
        </a:ln>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61</xdr:col>
      <xdr:colOff>9525</xdr:colOff>
      <xdr:row>7</xdr:row>
      <xdr:rowOff>161926</xdr:rowOff>
    </xdr:from>
    <xdr:to>
      <xdr:col>67</xdr:col>
      <xdr:colOff>0</xdr:colOff>
      <xdr:row>16</xdr:row>
      <xdr:rowOff>95250</xdr:rowOff>
    </xdr:to>
    <xdr:graphicFrame macro="">
      <xdr:nvGraphicFramePr>
        <xdr:cNvPr id="23" name="Graphique 1">
          <a:extLst>
            <a:ext uri="{FF2B5EF4-FFF2-40B4-BE49-F238E27FC236}">
              <a16:creationId xmlns:a16="http://schemas.microsoft.com/office/drawing/2014/main" xmlns=""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43</xdr:col>
      <xdr:colOff>119888</xdr:colOff>
      <xdr:row>5</xdr:row>
      <xdr:rowOff>120512</xdr:rowOff>
    </xdr:from>
    <xdr:to>
      <xdr:col>43</xdr:col>
      <xdr:colOff>371888</xdr:colOff>
      <xdr:row>6</xdr:row>
      <xdr:rowOff>57062</xdr:rowOff>
    </xdr:to>
    <xdr:sp macro="" textlink="">
      <xdr:nvSpPr>
        <xdr:cNvPr id="24" name="Flèche droite 32">
          <a:extLst>
            <a:ext uri="{FF2B5EF4-FFF2-40B4-BE49-F238E27FC236}">
              <a16:creationId xmlns:a16="http://schemas.microsoft.com/office/drawing/2014/main" xmlns="" id="{00000000-0008-0000-0100-000018000000}"/>
            </a:ext>
          </a:extLst>
        </xdr:cNvPr>
        <xdr:cNvSpPr/>
      </xdr:nvSpPr>
      <xdr:spPr>
        <a:xfrm>
          <a:off x="24294338" y="930137"/>
          <a:ext cx="252000" cy="984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49</xdr:col>
      <xdr:colOff>0</xdr:colOff>
      <xdr:row>25</xdr:row>
      <xdr:rowOff>161925</xdr:rowOff>
    </xdr:from>
    <xdr:to>
      <xdr:col>51</xdr:col>
      <xdr:colOff>770325</xdr:colOff>
      <xdr:row>27</xdr:row>
      <xdr:rowOff>97500</xdr:rowOff>
    </xdr:to>
    <xdr:sp macro="" textlink="">
      <xdr:nvSpPr>
        <xdr:cNvPr id="25" name="ZoneTexte 24">
          <a:extLst>
            <a:ext uri="{FF2B5EF4-FFF2-40B4-BE49-F238E27FC236}">
              <a16:creationId xmlns:a16="http://schemas.microsoft.com/office/drawing/2014/main" xmlns="" id="{00000000-0008-0000-0100-000019000000}"/>
            </a:ext>
          </a:extLst>
        </xdr:cNvPr>
        <xdr:cNvSpPr txBox="1"/>
      </xdr:nvSpPr>
      <xdr:spPr>
        <a:xfrm>
          <a:off x="26774775" y="4210050"/>
          <a:ext cx="1951425" cy="259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Accidents du travail</a:t>
          </a:r>
        </a:p>
      </xdr:txBody>
    </xdr:sp>
    <xdr:clientData/>
  </xdr:twoCellAnchor>
  <xdr:twoCellAnchor>
    <xdr:from>
      <xdr:col>55</xdr:col>
      <xdr:colOff>1680</xdr:colOff>
      <xdr:row>25</xdr:row>
      <xdr:rowOff>152398</xdr:rowOff>
    </xdr:from>
    <xdr:to>
      <xdr:col>58</xdr:col>
      <xdr:colOff>308924</xdr:colOff>
      <xdr:row>29</xdr:row>
      <xdr:rowOff>100869</xdr:rowOff>
    </xdr:to>
    <xdr:sp macro="" textlink="">
      <xdr:nvSpPr>
        <xdr:cNvPr id="26" name="ZoneTexte 25">
          <a:extLst>
            <a:ext uri="{FF2B5EF4-FFF2-40B4-BE49-F238E27FC236}">
              <a16:creationId xmlns:a16="http://schemas.microsoft.com/office/drawing/2014/main" xmlns="" id="{00000000-0008-0000-0100-00001A000000}"/>
            </a:ext>
          </a:extLst>
        </xdr:cNvPr>
        <xdr:cNvSpPr txBox="1"/>
      </xdr:nvSpPr>
      <xdr:spPr>
        <a:xfrm>
          <a:off x="30472155" y="4200523"/>
          <a:ext cx="2031269" cy="5961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Prévention et risques professionnels</a:t>
          </a:r>
        </a:p>
      </xdr:txBody>
    </xdr:sp>
    <xdr:clientData/>
  </xdr:twoCellAnchor>
  <xdr:twoCellAnchor>
    <xdr:from>
      <xdr:col>73</xdr:col>
      <xdr:colOff>0</xdr:colOff>
      <xdr:row>0</xdr:row>
      <xdr:rowOff>9525</xdr:rowOff>
    </xdr:from>
    <xdr:to>
      <xdr:col>76</xdr:col>
      <xdr:colOff>561975</xdr:colOff>
      <xdr:row>1</xdr:row>
      <xdr:rowOff>123825</xdr:rowOff>
    </xdr:to>
    <xdr:sp macro="" textlink="">
      <xdr:nvSpPr>
        <xdr:cNvPr id="27" name="ZoneTexte 26">
          <a:extLst>
            <a:ext uri="{FF2B5EF4-FFF2-40B4-BE49-F238E27FC236}">
              <a16:creationId xmlns:a16="http://schemas.microsoft.com/office/drawing/2014/main" xmlns="" id="{00000000-0008-0000-0100-00001B000000}"/>
            </a:ext>
          </a:extLst>
        </xdr:cNvPr>
        <xdr:cNvSpPr txBox="1"/>
      </xdr:nvSpPr>
      <xdr:spPr>
        <a:xfrm>
          <a:off x="40119300" y="9525"/>
          <a:ext cx="2647950"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Précisions méthodologiques</a:t>
          </a:r>
        </a:p>
      </xdr:txBody>
    </xdr:sp>
    <xdr:clientData/>
  </xdr:twoCellAnchor>
  <xdr:twoCellAnchor editAs="oneCell">
    <xdr:from>
      <xdr:col>20</xdr:col>
      <xdr:colOff>28575</xdr:colOff>
      <xdr:row>36</xdr:row>
      <xdr:rowOff>152400</xdr:rowOff>
    </xdr:from>
    <xdr:to>
      <xdr:col>21</xdr:col>
      <xdr:colOff>4481</xdr:colOff>
      <xdr:row>38</xdr:row>
      <xdr:rowOff>0</xdr:rowOff>
    </xdr:to>
    <xdr:pic>
      <xdr:nvPicPr>
        <xdr:cNvPr id="28" name="Image 3">
          <a:extLst>
            <a:ext uri="{FF2B5EF4-FFF2-40B4-BE49-F238E27FC236}">
              <a16:creationId xmlns:a16="http://schemas.microsoft.com/office/drawing/2014/main" xmlns="" id="{00000000-0008-0000-0100-00001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xmlns="" val="0"/>
            </a:ext>
          </a:extLst>
        </a:blip>
        <a:srcRect l="51175" t="90092" r="36134" b="3671"/>
        <a:stretch>
          <a:fillRect/>
        </a:stretch>
      </xdr:blipFill>
      <xdr:spPr bwMode="auto">
        <a:xfrm>
          <a:off x="11496675" y="5981700"/>
          <a:ext cx="566456" cy="1714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386783</xdr:colOff>
      <xdr:row>3</xdr:row>
      <xdr:rowOff>146589</xdr:rowOff>
    </xdr:from>
    <xdr:to>
      <xdr:col>10</xdr:col>
      <xdr:colOff>707739</xdr:colOff>
      <xdr:row>3</xdr:row>
      <xdr:rowOff>149087</xdr:rowOff>
    </xdr:to>
    <xdr:cxnSp macro="">
      <xdr:nvCxnSpPr>
        <xdr:cNvPr id="29" name="Connecteur droit 28">
          <a:extLst>
            <a:ext uri="{FF2B5EF4-FFF2-40B4-BE49-F238E27FC236}">
              <a16:creationId xmlns:a16="http://schemas.microsoft.com/office/drawing/2014/main" xmlns="" id="{00000000-0008-0000-0100-00001D000000}"/>
            </a:ext>
          </a:extLst>
        </xdr:cNvPr>
        <xdr:cNvCxnSpPr/>
      </xdr:nvCxnSpPr>
      <xdr:spPr>
        <a:xfrm>
          <a:off x="615383" y="632364"/>
          <a:ext cx="5988331" cy="2498"/>
        </a:xfrm>
        <a:prstGeom prst="line">
          <a:avLst/>
        </a:prstGeom>
        <a:ln w="38100">
          <a:solidFill>
            <a:srgbClr val="305496"/>
          </a:solidFill>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228599</xdr:colOff>
      <xdr:row>49</xdr:row>
      <xdr:rowOff>45243</xdr:rowOff>
    </xdr:from>
    <xdr:to>
      <xdr:col>15</xdr:col>
      <xdr:colOff>352349</xdr:colOff>
      <xdr:row>50</xdr:row>
      <xdr:rowOff>152268</xdr:rowOff>
    </xdr:to>
    <xdr:sp macro="" textlink="">
      <xdr:nvSpPr>
        <xdr:cNvPr id="30" name="ZoneTexte 29">
          <a:extLst>
            <a:ext uri="{FF2B5EF4-FFF2-40B4-BE49-F238E27FC236}">
              <a16:creationId xmlns:a16="http://schemas.microsoft.com/office/drawing/2014/main" xmlns="" id="{00000000-0008-0000-0100-00001E000000}"/>
            </a:ext>
          </a:extLst>
        </xdr:cNvPr>
        <xdr:cNvSpPr txBox="1"/>
      </xdr:nvSpPr>
      <xdr:spPr>
        <a:xfrm>
          <a:off x="6838949" y="7979568"/>
          <a:ext cx="2124000" cy="268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300"/>
            </a:lnSpc>
            <a:defRPr sz="1000"/>
          </a:pPr>
          <a:r>
            <a:rPr lang="fr-FR" sz="1400" b="1" i="0" u="none" strike="noStrike" baseline="0">
              <a:solidFill>
                <a:schemeClr val="accent1">
                  <a:lumMod val="75000"/>
                </a:schemeClr>
              </a:solidFill>
              <a:latin typeface="Century Gothic"/>
            </a:rPr>
            <a:t>Positions particulières</a:t>
          </a:r>
        </a:p>
      </xdr:txBody>
    </xdr:sp>
    <xdr:clientData/>
  </xdr:twoCellAnchor>
  <xdr:twoCellAnchor>
    <xdr:from>
      <xdr:col>24</xdr:col>
      <xdr:colOff>0</xdr:colOff>
      <xdr:row>40</xdr:row>
      <xdr:rowOff>9525</xdr:rowOff>
    </xdr:from>
    <xdr:to>
      <xdr:col>27</xdr:col>
      <xdr:colOff>196313</xdr:colOff>
      <xdr:row>41</xdr:row>
      <xdr:rowOff>123824</xdr:rowOff>
    </xdr:to>
    <xdr:sp macro="" textlink="">
      <xdr:nvSpPr>
        <xdr:cNvPr id="31" name="ZoneTexte 30">
          <a:extLst>
            <a:ext uri="{FF2B5EF4-FFF2-40B4-BE49-F238E27FC236}">
              <a16:creationId xmlns:a16="http://schemas.microsoft.com/office/drawing/2014/main" xmlns="" id="{00000000-0008-0000-0100-00001F000000}"/>
            </a:ext>
          </a:extLst>
        </xdr:cNvPr>
        <xdr:cNvSpPr txBox="1"/>
      </xdr:nvSpPr>
      <xdr:spPr>
        <a:xfrm>
          <a:off x="13506450" y="6486525"/>
          <a:ext cx="2282288" cy="2762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fr-FR" sz="1400" b="1" i="0" u="none" strike="noStrike" baseline="0">
              <a:solidFill>
                <a:schemeClr val="accent1">
                  <a:lumMod val="75000"/>
                </a:schemeClr>
              </a:solidFill>
              <a:latin typeface="Century Gothic"/>
            </a:rPr>
            <a:t>Sanctions disciplinaires</a:t>
          </a:r>
        </a:p>
        <a:p>
          <a:pPr algn="l" rtl="0">
            <a:defRPr sz="1000"/>
          </a:pPr>
          <a:endParaRPr lang="fr-FR" sz="1400" b="1" i="0" u="none" strike="noStrike" baseline="0">
            <a:solidFill>
              <a:schemeClr val="accent1">
                <a:lumMod val="75000"/>
              </a:schemeClr>
            </a:solidFill>
            <a:latin typeface="Century Gothic"/>
          </a:endParaRPr>
        </a:p>
      </xdr:txBody>
    </xdr:sp>
    <xdr:clientData/>
  </xdr:twoCellAnchor>
  <xdr:twoCellAnchor>
    <xdr:from>
      <xdr:col>0</xdr:col>
      <xdr:colOff>52178</xdr:colOff>
      <xdr:row>0</xdr:row>
      <xdr:rowOff>62118</xdr:rowOff>
    </xdr:from>
    <xdr:to>
      <xdr:col>2</xdr:col>
      <xdr:colOff>105428</xdr:colOff>
      <xdr:row>4</xdr:row>
      <xdr:rowOff>119509</xdr:rowOff>
    </xdr:to>
    <xdr:sp macro="" textlink="">
      <xdr:nvSpPr>
        <xdr:cNvPr id="32" name="Ellipse 31">
          <a:extLst>
            <a:ext uri="{FF2B5EF4-FFF2-40B4-BE49-F238E27FC236}">
              <a16:creationId xmlns:a16="http://schemas.microsoft.com/office/drawing/2014/main" xmlns="" id="{00000000-0008-0000-0100-000020000000}"/>
            </a:ext>
          </a:extLst>
        </xdr:cNvPr>
        <xdr:cNvSpPr/>
      </xdr:nvSpPr>
      <xdr:spPr>
        <a:xfrm>
          <a:off x="52178" y="62118"/>
          <a:ext cx="698172" cy="692391"/>
        </a:xfrm>
        <a:prstGeom prst="ellipse">
          <a:avLst/>
        </a:prstGeom>
        <a:solidFill>
          <a:srgbClr val="305496"/>
        </a:solidFill>
        <a:ln w="57150">
          <a:solidFill>
            <a:schemeClr val="bg1"/>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fr-FR" sz="1400" b="1">
              <a:latin typeface="Century Gothic" panose="020B0502020202020204" pitchFamily="34" charset="0"/>
            </a:rPr>
            <a:t>RSU</a:t>
          </a:r>
        </a:p>
      </xdr:txBody>
    </xdr:sp>
    <xdr:clientData/>
  </xdr:twoCellAnchor>
  <xdr:twoCellAnchor>
    <xdr:from>
      <xdr:col>17</xdr:col>
      <xdr:colOff>217954</xdr:colOff>
      <xdr:row>45</xdr:row>
      <xdr:rowOff>5603</xdr:rowOff>
    </xdr:from>
    <xdr:to>
      <xdr:col>22</xdr:col>
      <xdr:colOff>435251</xdr:colOff>
      <xdr:row>48</xdr:row>
      <xdr:rowOff>142876</xdr:rowOff>
    </xdr:to>
    <xdr:graphicFrame macro="">
      <xdr:nvGraphicFramePr>
        <xdr:cNvPr id="33" name="Graphique 32">
          <a:extLst>
            <a:ext uri="{FF2B5EF4-FFF2-40B4-BE49-F238E27FC236}">
              <a16:creationId xmlns:a16="http://schemas.microsoft.com/office/drawing/2014/main" xmlns="" id="{00000000-0008-0000-01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xdr:colOff>
      <xdr:row>40</xdr:row>
      <xdr:rowOff>9525</xdr:rowOff>
    </xdr:from>
    <xdr:to>
      <xdr:col>17</xdr:col>
      <xdr:colOff>226219</xdr:colOff>
      <xdr:row>41</xdr:row>
      <xdr:rowOff>107156</xdr:rowOff>
    </xdr:to>
    <xdr:sp macro="" textlink="">
      <xdr:nvSpPr>
        <xdr:cNvPr id="34" name="ZoneTexte 33">
          <a:extLst>
            <a:ext uri="{FF2B5EF4-FFF2-40B4-BE49-F238E27FC236}">
              <a16:creationId xmlns:a16="http://schemas.microsoft.com/office/drawing/2014/main" xmlns="" id="{00000000-0008-0000-0100-000022000000}"/>
            </a:ext>
          </a:extLst>
        </xdr:cNvPr>
        <xdr:cNvSpPr txBox="1"/>
      </xdr:nvSpPr>
      <xdr:spPr>
        <a:xfrm>
          <a:off x="6838951" y="6486525"/>
          <a:ext cx="3178968" cy="2595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300"/>
            </a:lnSpc>
            <a:defRPr sz="1000"/>
          </a:pPr>
          <a:r>
            <a:rPr lang="fr-FR" sz="1400" b="1" i="0" u="none" strike="noStrike" baseline="0">
              <a:solidFill>
                <a:schemeClr val="accent1">
                  <a:lumMod val="75000"/>
                </a:schemeClr>
              </a:solidFill>
              <a:latin typeface="Century Gothic" panose="020B0502020202020204" pitchFamily="34" charset="0"/>
            </a:rPr>
            <a:t>Équivalent temps plein rémunéré</a:t>
          </a:r>
          <a:endParaRPr lang="fr-FR" sz="1400" b="1" i="0" u="none" strike="noStrike" baseline="0">
            <a:solidFill>
              <a:schemeClr val="accent1">
                <a:lumMod val="75000"/>
              </a:schemeClr>
            </a:solidFill>
            <a:latin typeface="Century Gothic"/>
          </a:endParaRPr>
        </a:p>
      </xdr:txBody>
    </xdr:sp>
    <xdr:clientData/>
  </xdr:twoCellAnchor>
  <xdr:twoCellAnchor>
    <xdr:from>
      <xdr:col>16</xdr:col>
      <xdr:colOff>9525</xdr:colOff>
      <xdr:row>29</xdr:row>
      <xdr:rowOff>28576</xdr:rowOff>
    </xdr:from>
    <xdr:to>
      <xdr:col>17</xdr:col>
      <xdr:colOff>457200</xdr:colOff>
      <xdr:row>37</xdr:row>
      <xdr:rowOff>28576</xdr:rowOff>
    </xdr:to>
    <xdr:sp macro="" textlink="">
      <xdr:nvSpPr>
        <xdr:cNvPr id="35" name="ZoneTexte 34">
          <a:extLst>
            <a:ext uri="{FF2B5EF4-FFF2-40B4-BE49-F238E27FC236}">
              <a16:creationId xmlns:a16="http://schemas.microsoft.com/office/drawing/2014/main" xmlns="" id="{00000000-0008-0000-0100-000023000000}"/>
            </a:ext>
          </a:extLst>
        </xdr:cNvPr>
        <xdr:cNvSpPr txBox="1"/>
      </xdr:nvSpPr>
      <xdr:spPr>
        <a:xfrm>
          <a:off x="9210675" y="4724401"/>
          <a:ext cx="1038225" cy="1295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de 50 ans et +</a:t>
          </a:r>
        </a:p>
        <a:p>
          <a:endParaRPr lang="fr-FR" sz="2000" b="1"/>
        </a:p>
        <a:p>
          <a:r>
            <a:rPr lang="fr-FR" sz="1000" b="1"/>
            <a:t>de</a:t>
          </a:r>
          <a:r>
            <a:rPr lang="fr-FR" sz="1000" b="1" baseline="0"/>
            <a:t> 30 à 49 ans</a:t>
          </a:r>
        </a:p>
        <a:p>
          <a:endParaRPr lang="fr-FR" sz="2000" b="1" baseline="0"/>
        </a:p>
        <a:p>
          <a:r>
            <a:rPr lang="fr-FR" sz="1000" b="1" baseline="0"/>
            <a:t>de - de 30 ans</a:t>
          </a:r>
          <a:endParaRPr lang="fr-FR" sz="1000" b="1"/>
        </a:p>
      </xdr:txBody>
    </xdr:sp>
    <xdr:clientData/>
  </xdr:twoCellAnchor>
  <xdr:twoCellAnchor>
    <xdr:from>
      <xdr:col>41</xdr:col>
      <xdr:colOff>152400</xdr:colOff>
      <xdr:row>38</xdr:row>
      <xdr:rowOff>9525</xdr:rowOff>
    </xdr:from>
    <xdr:to>
      <xdr:col>47</xdr:col>
      <xdr:colOff>457200</xdr:colOff>
      <xdr:row>46</xdr:row>
      <xdr:rowOff>123825</xdr:rowOff>
    </xdr:to>
    <xdr:graphicFrame macro="">
      <xdr:nvGraphicFramePr>
        <xdr:cNvPr id="37" name="Graphique 36">
          <a:extLst>
            <a:ext uri="{FF2B5EF4-FFF2-40B4-BE49-F238E27FC236}">
              <a16:creationId xmlns:a16="http://schemas.microsoft.com/office/drawing/2014/main" xmlns="" id="{00000000-0008-0000-01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72</xdr:col>
      <xdr:colOff>192938</xdr:colOff>
      <xdr:row>42</xdr:row>
      <xdr:rowOff>59530</xdr:rowOff>
    </xdr:from>
    <xdr:to>
      <xdr:col>75</xdr:col>
      <xdr:colOff>629570</xdr:colOff>
      <xdr:row>46</xdr:row>
      <xdr:rowOff>66877</xdr:rowOff>
    </xdr:to>
    <xdr:pic>
      <xdr:nvPicPr>
        <xdr:cNvPr id="38" name="Image 37">
          <a:extLst>
            <a:ext uri="{FF2B5EF4-FFF2-40B4-BE49-F238E27FC236}">
              <a16:creationId xmlns:a16="http://schemas.microsoft.com/office/drawing/2014/main" xmlns="" id="{00000000-0008-0000-0100-000026000000}"/>
            </a:ext>
          </a:extLst>
        </xdr:cNvPr>
        <xdr:cNvPicPr>
          <a:picLocks noChangeAspect="1"/>
        </xdr:cNvPicPr>
      </xdr:nvPicPr>
      <xdr:blipFill>
        <a:blip xmlns:r="http://schemas.openxmlformats.org/officeDocument/2006/relationships" r:embed="rId12"/>
        <a:stretch>
          <a:fillRect/>
        </a:stretch>
      </xdr:blipFill>
      <xdr:spPr>
        <a:xfrm>
          <a:off x="40078876" y="6727030"/>
          <a:ext cx="2093585" cy="6423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56</xdr:row>
      <xdr:rowOff>57150</xdr:rowOff>
    </xdr:from>
    <xdr:to>
      <xdr:col>16</xdr:col>
      <xdr:colOff>695325</xdr:colOff>
      <xdr:row>104</xdr:row>
      <xdr:rowOff>57150</xdr:rowOff>
    </xdr:to>
    <xdr:pic>
      <xdr:nvPicPr>
        <xdr:cNvPr id="2052" name="Picture 4">
          <a:extLst>
            <a:ext uri="{FF2B5EF4-FFF2-40B4-BE49-F238E27FC236}">
              <a16:creationId xmlns:a16="http://schemas.microsoft.com/office/drawing/2014/main" xmlns="" id="{00000000-0008-0000-2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9629775"/>
          <a:ext cx="12287250" cy="77724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NFRA-P-BUR1\Services\Users\Bibis\AppData\Local\Packages\Microsoft.MicrosoftEdge_8wekyb3d8bbwe\TempState\Downloads\Exemple%2015\BS2015_synthese_individuel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ibis/AppData/Local/Packages/Microsoft.MicrosoftEdge_8wekyb3d8bbwe/TempState/Downloads/Exemple%2015/BS2015_synthese_individuel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FRA-P-BUR1\Services\Users\Bibis\AppData\Local\Packages\Microsoft.MicrosoftEdge_8wekyb3d8bbwe\TempState\Downloads\BS2016_vierge.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age%20de%20garde"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REF"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Fiche%201.6.1-1.6.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ynthese"/>
      <sheetName val="Sommaire"/>
      <sheetName val="General"/>
      <sheetName val="Fiche 1.1.0"/>
      <sheetName val="1.1.0"/>
      <sheetName val="Fiche 1.1.1"/>
      <sheetName val="1.1.1"/>
      <sheetName val="Fiche 1.1.2"/>
      <sheetName val="1.1.2"/>
      <sheetName val="Fiche 1.1.3"/>
      <sheetName val="1.1.3"/>
      <sheetName val="1.1.4"/>
      <sheetName val="Fiche 1.2.1"/>
      <sheetName val="1.2.1"/>
      <sheetName val="Fiche 1.2.2"/>
      <sheetName val="1.2.2"/>
      <sheetName val="Fiche 1.2.3"/>
      <sheetName val="1.2.3"/>
      <sheetName val="1.2.4"/>
      <sheetName val="Fiche 1.3.1-1.3.2"/>
      <sheetName val="1.3.1"/>
      <sheetName val="1.3.2"/>
      <sheetName val="Fiche 1.4.1-1.4.4"/>
      <sheetName val="1.4.1-1.4.4"/>
      <sheetName val="Fiche 1.5.0"/>
      <sheetName val="1.5.0"/>
      <sheetName val="Fiche 1.5.1"/>
      <sheetName val="1.5.1"/>
      <sheetName val="Fiche 1.5.2"/>
      <sheetName val="1.5.2"/>
      <sheetName val="Fiche 1.5.3"/>
      <sheetName val="1.5.3"/>
      <sheetName val="Fiche 1.5.4-1.5.6"/>
      <sheetName val="1.5.4-1.5.6"/>
      <sheetName val="1.5.7"/>
      <sheetName val="1.5.8"/>
      <sheetName val="Fiche 1.6.1-1.6.2"/>
      <sheetName val="1.6.1"/>
      <sheetName val="1.6.2"/>
      <sheetName val="1.7.1"/>
      <sheetName val="2.1.1"/>
      <sheetName val="2.1.2"/>
      <sheetName val="2.1.3"/>
      <sheetName val="2.1.4"/>
      <sheetName val="2.1.5"/>
      <sheetName val="Fiche 2.2.1-2.2.5"/>
      <sheetName val="2.2.1-2.2.4"/>
      <sheetName val="2.2.5"/>
      <sheetName val="2.3.1"/>
      <sheetName val="Fiche 3.1.1-3.4.2"/>
      <sheetName val="3.1.1-3.4.2"/>
      <sheetName val="3.4.3"/>
      <sheetName val="4.1.1"/>
      <sheetName val="3.4.4"/>
      <sheetName val="5.1.1-5.1.2"/>
      <sheetName val="5.1.3"/>
      <sheetName val="Fiche 5.1.4-5.1.6"/>
      <sheetName val="5.1.4-5.1.6"/>
      <sheetName val="5.2.1"/>
      <sheetName val="5.2.2"/>
      <sheetName val="5.2.3"/>
      <sheetName val="5.3.1"/>
      <sheetName val="Fiche 6.1.1-6.1.4"/>
      <sheetName val="6.1.1"/>
      <sheetName val="6.1.2"/>
      <sheetName val="6.1.3"/>
      <sheetName val="6.1.4"/>
      <sheetName val="7.1.1-7.1.3"/>
      <sheetName val="Fiche 8.1.1-8.1.4"/>
      <sheetName val="8.1.1-8.1.4"/>
      <sheetName val="Effectifs Source"/>
      <sheetName val="Effectifs"/>
      <sheetName val="Mouvements Source"/>
      <sheetName val="Mouvements"/>
      <sheetName val="Promotions Source"/>
      <sheetName val="Handicapes"/>
      <sheetName val="Handicapes Source"/>
      <sheetName val="Absence"/>
      <sheetName val="Absence Source"/>
      <sheetName val="CET Source"/>
      <sheetName val="Logements"/>
      <sheetName val="Logements Source"/>
      <sheetName val="Condtrav_hyg_secu"/>
      <sheetName val="Condtrav_hyg_secu Source"/>
      <sheetName val="Formation"/>
      <sheetName val="Formation Source"/>
      <sheetName val="Droitssociaux"/>
      <sheetName val="Droitssociaux Source"/>
      <sheetName val="Restitution_parité"/>
      <sheetName val="Graphique 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ynthese"/>
      <sheetName val="Sommaire"/>
      <sheetName val="General"/>
      <sheetName val="Fiche 1.1.0"/>
      <sheetName val="1.1.0"/>
      <sheetName val="Fiche 1.1.1"/>
      <sheetName val="1.1.1"/>
      <sheetName val="Fiche 1.1.2"/>
      <sheetName val="1.1.2"/>
      <sheetName val="Fiche 1.1.3"/>
      <sheetName val="1.1.3"/>
      <sheetName val="1.1.4"/>
      <sheetName val="Fiche 1.2.1"/>
      <sheetName val="1.2.1"/>
      <sheetName val="Fiche 1.2.2"/>
      <sheetName val="1.2.2"/>
      <sheetName val="Fiche 1.2.3"/>
      <sheetName val="1.2.3"/>
      <sheetName val="1.2.4"/>
      <sheetName val="Fiche 1.3.1-1.3.2"/>
      <sheetName val="1.3.1"/>
      <sheetName val="1.3.2"/>
      <sheetName val="Fiche 1.4.1-1.4.4"/>
      <sheetName val="1.4.1-1.4.4"/>
      <sheetName val="Fiche 1.5.0"/>
      <sheetName val="1.5.0"/>
      <sheetName val="Fiche 1.5.1"/>
      <sheetName val="1.5.1"/>
      <sheetName val="Fiche 1.5.2"/>
      <sheetName val="1.5.2"/>
      <sheetName val="Fiche 1.5.3"/>
      <sheetName val="1.5.3"/>
      <sheetName val="Fiche 1.5.4-1.5.6"/>
      <sheetName val="1.5.4-1.5.6"/>
      <sheetName val="1.5.7"/>
      <sheetName val="1.5.8"/>
      <sheetName val="Fiche 1.6.1-1.6.2"/>
      <sheetName val="1.6.1"/>
      <sheetName val="1.6.2"/>
      <sheetName val="1.7.1"/>
      <sheetName val="2.1.1"/>
      <sheetName val="2.1.2"/>
      <sheetName val="2.1.3"/>
      <sheetName val="2.1.4"/>
      <sheetName val="2.1.5"/>
      <sheetName val="Fiche 2.2.1-2.2.5"/>
      <sheetName val="2.2.1-2.2.4"/>
      <sheetName val="2.2.5"/>
      <sheetName val="2.3.1"/>
      <sheetName val="Fiche 3.1.1-3.4.2"/>
      <sheetName val="3.1.1-3.4.2"/>
      <sheetName val="3.4.3"/>
      <sheetName val="4.1.1"/>
      <sheetName val="3.4.4"/>
      <sheetName val="5.1.1-5.1.2"/>
      <sheetName val="5.1.3"/>
      <sheetName val="Fiche 5.1.4-5.1.6"/>
      <sheetName val="5.1.4-5.1.6"/>
      <sheetName val="5.2.1"/>
      <sheetName val="5.2.2"/>
      <sheetName val="5.2.3"/>
      <sheetName val="5.3.1"/>
      <sheetName val="Fiche 6.1.1-6.1.4"/>
      <sheetName val="6.1.1"/>
      <sheetName val="6.1.2"/>
      <sheetName val="6.1.3"/>
      <sheetName val="6.1.4"/>
      <sheetName val="7.1.1-7.1.3"/>
      <sheetName val="Fiche 8.1.1-8.1.4"/>
      <sheetName val="8.1.1-8.1.4"/>
      <sheetName val="Effectifs Source"/>
      <sheetName val="Effectifs"/>
      <sheetName val="Mouvements Source"/>
      <sheetName val="Mouvements"/>
      <sheetName val="Promotions Source"/>
      <sheetName val="Handicapes"/>
      <sheetName val="Handicapes Source"/>
      <sheetName val="Absence"/>
      <sheetName val="Absence Source"/>
      <sheetName val="CET Source"/>
      <sheetName val="Logements"/>
      <sheetName val="Logements Source"/>
      <sheetName val="Condtrav_hyg_secu"/>
      <sheetName val="Condtrav_hyg_secu Source"/>
      <sheetName val="Formation"/>
      <sheetName val="Formation Source"/>
      <sheetName val="Droitssociaux"/>
      <sheetName val="Droitssociaux Source"/>
      <sheetName val="Restitution_parité"/>
      <sheetName val="Graphique Source"/>
    </sheetNames>
    <sheetDataSet>
      <sheetData sheetId="0" refreshError="1"/>
      <sheetData sheetId="1" refreshError="1"/>
      <sheetData sheetId="2" refreshError="1">
        <row r="8">
          <cell r="D8">
            <v>0</v>
          </cell>
          <cell r="G8" t="str">
            <v>Ok</v>
          </cell>
        </row>
        <row r="9">
          <cell r="G9" t="str">
            <v>Erreur</v>
          </cell>
        </row>
        <row r="10">
          <cell r="G10" t="str">
            <v>A vérifier</v>
          </cell>
        </row>
        <row r="11">
          <cell r="D11">
            <v>0</v>
          </cell>
        </row>
        <row r="46">
          <cell r="B46" t="str">
            <v>01 - Région</v>
          </cell>
        </row>
        <row r="47">
          <cell r="B47" t="str">
            <v>02 - Département</v>
          </cell>
        </row>
        <row r="48">
          <cell r="B48" t="str">
            <v>03 - Service départemental d'incendie et de secours</v>
          </cell>
        </row>
        <row r="49">
          <cell r="B49" t="str">
            <v>04 - Centre de gestion de la fonction publique territoriale</v>
          </cell>
        </row>
        <row r="50">
          <cell r="B50" t="str">
            <v>05 - Centre national de la fonction publique territoriale</v>
          </cell>
        </row>
        <row r="51">
          <cell r="B51" t="str">
            <v>06 - Commune</v>
          </cell>
        </row>
        <row r="52">
          <cell r="B52" t="str">
            <v>07 - Centre communal d'action sociale (CCAS)</v>
          </cell>
        </row>
        <row r="53">
          <cell r="B53" t="str">
            <v>08 - Caisse des écoles (CDE)</v>
          </cell>
        </row>
        <row r="54">
          <cell r="B54" t="str">
            <v>09 - Caisse de crédit municipal</v>
          </cell>
        </row>
        <row r="55">
          <cell r="B55" t="str">
            <v>10 - Communauté urbaine</v>
          </cell>
        </row>
        <row r="56">
          <cell r="B56" t="str">
            <v>11 - Communauté d'agglomération</v>
          </cell>
        </row>
        <row r="57">
          <cell r="B57" t="str">
            <v>12 - Communauté de communes</v>
          </cell>
        </row>
        <row r="58">
          <cell r="B58" t="str">
            <v>13 - Syndicat d'agglomération nouvelle</v>
          </cell>
        </row>
        <row r="59">
          <cell r="B59" t="str">
            <v>14 - Centre intercommunal d'action sociale (CIAS)</v>
          </cell>
        </row>
        <row r="60">
          <cell r="B60" t="str">
            <v>15 - Autre établissement public intercommunal (y compris syndicat mixte)</v>
          </cell>
        </row>
        <row r="61">
          <cell r="B61" t="str">
            <v>16 - Syndicat de communes à vocation multiple</v>
          </cell>
        </row>
        <row r="62">
          <cell r="B62" t="str">
            <v>17 - Syndicat de communes à vocation unique</v>
          </cell>
        </row>
        <row r="63">
          <cell r="B63" t="str">
            <v>18 - Office public de l'habitat (OPHLM - ODHLM - OPAC)</v>
          </cell>
        </row>
      </sheetData>
      <sheetData sheetId="3" refreshError="1"/>
      <sheetData sheetId="4" refreshError="1"/>
      <sheetData sheetId="5" refreshError="1"/>
      <sheetData sheetId="6" refreshError="1">
        <row r="11">
          <cell r="Q11">
            <v>0</v>
          </cell>
        </row>
      </sheetData>
      <sheetData sheetId="7" refreshError="1"/>
      <sheetData sheetId="8" refreshError="1">
        <row r="11">
          <cell r="R11">
            <v>0</v>
          </cell>
        </row>
      </sheetData>
      <sheetData sheetId="9" refreshError="1"/>
      <sheetData sheetId="10" refreshError="1">
        <row r="35">
          <cell r="J35">
            <v>0</v>
          </cell>
        </row>
      </sheetData>
      <sheetData sheetId="11" refreshError="1"/>
      <sheetData sheetId="12" refreshError="1"/>
      <sheetData sheetId="13" refreshError="1">
        <row r="13">
          <cell r="AC13">
            <v>0</v>
          </cell>
        </row>
      </sheetData>
      <sheetData sheetId="14" refreshError="1"/>
      <sheetData sheetId="15" refreshError="1"/>
      <sheetData sheetId="16" refreshError="1"/>
      <sheetData sheetId="17" refreshError="1">
        <row r="26">
          <cell r="K26">
            <v>0</v>
          </cell>
        </row>
      </sheetData>
      <sheetData sheetId="18" refreshError="1"/>
      <sheetData sheetId="19" refreshError="1"/>
      <sheetData sheetId="20" refreshError="1">
        <row r="9">
          <cell r="Q9">
            <v>0</v>
          </cell>
        </row>
      </sheetData>
      <sheetData sheetId="21" refreshError="1"/>
      <sheetData sheetId="22" refreshError="1"/>
      <sheetData sheetId="23" refreshError="1">
        <row r="6">
          <cell r="J6">
            <v>0</v>
          </cell>
        </row>
      </sheetData>
      <sheetData sheetId="24" refreshError="1"/>
      <sheetData sheetId="25" refreshError="1">
        <row r="9">
          <cell r="P9">
            <v>0</v>
          </cell>
        </row>
      </sheetData>
      <sheetData sheetId="26" refreshError="1"/>
      <sheetData sheetId="27" refreshError="1"/>
      <sheetData sheetId="28" refreshError="1"/>
      <sheetData sheetId="29" refreshError="1">
        <row r="12">
          <cell r="X12">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21">
          <cell r="S21">
            <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row r="5">
          <cell r="L5">
            <v>0</v>
          </cell>
        </row>
      </sheetData>
      <sheetData sheetId="49" refreshError="1"/>
      <sheetData sheetId="50" refreshError="1">
        <row r="6">
          <cell r="L6">
            <v>0</v>
          </cell>
        </row>
      </sheetData>
      <sheetData sheetId="51" refreshError="1"/>
      <sheetData sheetId="52" refreshError="1"/>
      <sheetData sheetId="53" refreshError="1">
        <row r="6">
          <cell r="E6">
            <v>0</v>
          </cell>
        </row>
      </sheetData>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0">
          <cell r="R10">
            <v>0</v>
          </cell>
        </row>
      </sheetData>
      <sheetData sheetId="64" refreshError="1"/>
      <sheetData sheetId="65" refreshError="1"/>
      <sheetData sheetId="66" refreshError="1"/>
      <sheetData sheetId="67" refreshError="1">
        <row r="65">
          <cell r="F65">
            <v>0</v>
          </cell>
        </row>
      </sheetData>
      <sheetData sheetId="68" refreshError="1"/>
      <sheetData sheetId="69" refreshError="1">
        <row r="3">
          <cell r="F3">
            <v>0</v>
          </cell>
        </row>
      </sheetData>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_LIRE"/>
      <sheetName val="Page de garde"/>
      <sheetName val="Sommaire"/>
      <sheetName val="Fiche 1.1.0"/>
      <sheetName val="IND 1.1.0"/>
      <sheetName val="Fiche 1.1.1"/>
      <sheetName val="IND 1.1.1"/>
      <sheetName val="Fiche 1.1.2"/>
      <sheetName val="IND 1.1.2"/>
      <sheetName val="Fiche 1.1.3"/>
      <sheetName val="IND 1.1.3"/>
      <sheetName val="IND 1.1.4"/>
      <sheetName val="Fiche 1.2.1"/>
      <sheetName val="IND 1.2.1"/>
      <sheetName val="Fiche 1.2.2"/>
      <sheetName val="IND 1.2.2"/>
      <sheetName val="Fiche 1.2.3"/>
      <sheetName val="IND 1.2.3"/>
      <sheetName val="IND 1.2.4"/>
      <sheetName val="Fiche 1.3.1-1.3.2"/>
      <sheetName val="IND 1.3.1"/>
      <sheetName val="IND 1.3.2"/>
      <sheetName val="Fiche 1.4.1-1.4.4"/>
      <sheetName val="IND 1.4.1-1.4.4"/>
      <sheetName val="Fiche 1.5.0"/>
      <sheetName val="IND 1.5.0"/>
      <sheetName val="Fiche 1.5.1"/>
      <sheetName val="IND 1.5.1"/>
      <sheetName val="Fiche 1.5.2"/>
      <sheetName val="IND 1.5.2"/>
      <sheetName val="Fiche 1.5.3"/>
      <sheetName val="IND 1.5.3"/>
      <sheetName val="Fiche 1.5.4-1.5.7"/>
      <sheetName val="IND 1.5.4-1.5.6"/>
      <sheetName val="IND 1.5.7"/>
      <sheetName val="Fiche 1.6.1-1.6.2"/>
      <sheetName val="IND 1.6.1"/>
      <sheetName val="IND 1.6.2"/>
      <sheetName val="IND 1.7.1"/>
      <sheetName val="Fiche 2.1.0"/>
      <sheetName val="IND 2.1.0"/>
      <sheetName val="IND 2.1.1"/>
      <sheetName val="IND 2.1.2"/>
      <sheetName val="IND 2.1.3"/>
      <sheetName val="IND 2.1.4"/>
      <sheetName val="IND 2.1.5"/>
      <sheetName val="Fiche 2.2.1-2.2.5"/>
      <sheetName val="IND 2.2.1-2.2.4"/>
      <sheetName val="IND 2.2.5"/>
      <sheetName val="IND 2.3.1"/>
      <sheetName val="Fiche 3.1.1-3.4.2"/>
      <sheetName val="IND 3.1.1-3.4.2"/>
      <sheetName val="IND 3.4.3"/>
      <sheetName val="IND 3.4.4"/>
      <sheetName val="IND 4.1.1-4.1.2"/>
      <sheetName val="IND 4.1.3"/>
      <sheetName val="Fiche 4.1.4-4.1.6"/>
      <sheetName val="IND 4.1.4-4.1.7"/>
      <sheetName val="IND 4.2.1"/>
      <sheetName val="IND 4.2.2"/>
      <sheetName val="IND 4.2.3"/>
      <sheetName val="IND 4.2.4"/>
      <sheetName val="IND 4.3.1"/>
      <sheetName val="Fiche 5.1.1-5.1.4"/>
      <sheetName val="IND 5.1.1"/>
      <sheetName val="IND 5.1.2"/>
      <sheetName val="IND 5.1.3"/>
      <sheetName val="IND 5.1.4"/>
      <sheetName val="IND 6.1.1-6.1.3"/>
      <sheetName val="Fiche 6.1.4"/>
      <sheetName val="IND 6.1.4"/>
      <sheetName val="Fiche 7.1.1-7.1.4"/>
      <sheetName val="IND 7.1.1-7.1.4"/>
      <sheetName val="IND 8.1.1"/>
      <sheetName val="restitutions_effectifs"/>
      <sheetName val="restitutions_handicap"/>
      <sheetName val="restitutions_absences"/>
      <sheetName val="restitutions_conditionstravail"/>
      <sheetName val="restitutions_formation"/>
      <sheetName val="restitutions_droitssociaux"/>
      <sheetName val="restitutions_parite"/>
      <sheetName val="_paramètre"/>
      <sheetName val="Messages_controles"/>
      <sheetName val="2.1.1"/>
      <sheetName val="5.1.1-5.1.2"/>
      <sheetName val="2.1.2"/>
      <sheetName val="3.4.4"/>
      <sheetName val="3.1.1-3.4.2"/>
      <sheetName val="1.5.4-1.5.6"/>
      <sheetName val="5.2.1"/>
      <sheetName val="1.5.2"/>
      <sheetName val="1.5.3"/>
      <sheetName val="6.1.1"/>
      <sheetName val="7.1.1-7.1.3"/>
      <sheetName val="6.1.4"/>
      <sheetName val="1.6.1"/>
      <sheetName val="1.6.2"/>
      <sheetName val="8.1.1-8.1.4"/>
      <sheetName val="5.1.4-5.1.6"/>
      <sheetName val="1.7.1"/>
      <sheetName val="1.2.2"/>
      <sheetName val="1.1.2"/>
      <sheetName val="1.5.0"/>
      <sheetName val="General"/>
      <sheetName val="1.1.3"/>
      <sheetName val="1.2.3"/>
      <sheetName val="1.4.1-1.4.4"/>
      <sheetName val="2.3.1"/>
      <sheetName val="1.1.0"/>
      <sheetName val="1.1.1"/>
      <sheetName val="1.1.4"/>
      <sheetName val="1.2.1"/>
      <sheetName val="1.2.4"/>
      <sheetName val="1.3.1"/>
      <sheetName val="1.3.2"/>
      <sheetName val="1.5.1"/>
      <sheetName val="Fiche 1.5.4-1.5.6"/>
      <sheetName val="1.5.7"/>
      <sheetName val="1.5.8"/>
      <sheetName val="2.1.3"/>
      <sheetName val="2.1.4"/>
      <sheetName val="2.1.5"/>
      <sheetName val="2.2.1-2.2.4"/>
      <sheetName val="2.2.5"/>
      <sheetName val="3.4.3"/>
      <sheetName val="4.1.1"/>
      <sheetName val="5.1.3"/>
      <sheetName val="Fiche 5.1.4-5.1.6"/>
      <sheetName val="5.2.2"/>
      <sheetName val="5.2.3"/>
      <sheetName val="5.3.1"/>
      <sheetName val="Fiche 6.1.1-6.1.4"/>
      <sheetName val="6.1.2"/>
      <sheetName val="6.1.3"/>
      <sheetName val="Fiche 8.1.1-8.1.4"/>
      <sheetName val="Effectifs Source"/>
      <sheetName val="Effectifs"/>
      <sheetName val="Mouvements Source"/>
      <sheetName val="Mouvements"/>
      <sheetName val="Promotions Source"/>
      <sheetName val="Handicapes"/>
      <sheetName val="Handicapes Source"/>
      <sheetName val="Absence"/>
      <sheetName val="Absence Source"/>
      <sheetName val="CET Source"/>
      <sheetName val="Logements"/>
      <sheetName val="Logements Source"/>
      <sheetName val="Condtrav_hyg_secu"/>
      <sheetName val="Condtrav_hyg_secu Source"/>
      <sheetName val="Formation"/>
      <sheetName val="Formation Source"/>
      <sheetName val="Droitssociaux"/>
      <sheetName val="Droitssociaux Source"/>
      <sheetName val="Restitution_parité"/>
      <sheetName val="Graphique 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age de garde"/>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Fiche 1.6.1-1.6"/>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view.genial.ly/5c76523b08403f02612d0d7a/interactive-content-interactive-image-copie" TargetMode="External"/><Relationship Id="rId1" Type="http://schemas.openxmlformats.org/officeDocument/2006/relationships/hyperlink" Target="http://www.donnees-sociales.fr/"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3.bin"/><Relationship Id="rId4" Type="http://schemas.openxmlformats.org/officeDocument/2006/relationships/ctrlProp" Target="../ctrlProps/ctrlProp1.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sheet1.xml><?xml version="1.0" encoding="utf-8"?>
<worksheet xmlns="http://schemas.openxmlformats.org/spreadsheetml/2006/main" xmlns:r="http://schemas.openxmlformats.org/officeDocument/2006/relationships">
  <sheetPr codeName="Feuil1">
    <pageSetUpPr fitToPage="1"/>
  </sheetPr>
  <dimension ref="A1:W44"/>
  <sheetViews>
    <sheetView showGridLines="0" workbookViewId="0">
      <selection activeCell="U1" sqref="U1"/>
    </sheetView>
  </sheetViews>
  <sheetFormatPr baseColWidth="10" defaultColWidth="10.85546875" defaultRowHeight="12.75" customHeight="1"/>
  <cols>
    <col min="1" max="8" width="12.7109375" customWidth="1"/>
    <col min="10" max="18" width="10.85546875" style="1764"/>
  </cols>
  <sheetData>
    <row r="1" spans="1:23" ht="12.75" customHeight="1" thickBot="1">
      <c r="A1" s="1"/>
      <c r="B1" s="1"/>
      <c r="C1" s="1"/>
      <c r="D1" s="1"/>
      <c r="E1" s="1"/>
      <c r="F1" s="1"/>
      <c r="G1" s="1"/>
      <c r="H1" s="1"/>
      <c r="T1" s="1291"/>
      <c r="U1" s="1765"/>
      <c r="V1" s="1765"/>
      <c r="W1" s="1766"/>
    </row>
    <row r="2" spans="1:23" ht="14.1" customHeight="1">
      <c r="A2" s="21"/>
      <c r="B2" s="21"/>
      <c r="C2" s="21"/>
      <c r="D2" s="21"/>
      <c r="E2" s="21"/>
      <c r="F2" s="21"/>
      <c r="G2" s="21"/>
      <c r="H2" s="21"/>
      <c r="J2" s="1857" t="s">
        <v>3000</v>
      </c>
      <c r="K2" s="1858"/>
      <c r="L2" s="1858"/>
      <c r="M2" s="1858"/>
      <c r="N2" s="1858"/>
      <c r="O2" s="1858"/>
      <c r="P2" s="1858"/>
      <c r="Q2" s="1858"/>
      <c r="R2" s="1859"/>
      <c r="T2" s="1291"/>
      <c r="U2" s="1765">
        <v>1</v>
      </c>
      <c r="V2" s="1765"/>
      <c r="W2" s="1766"/>
    </row>
    <row r="3" spans="1:23" ht="14.1" customHeight="1">
      <c r="A3" s="1870"/>
      <c r="B3" s="1870"/>
      <c r="C3" s="1870"/>
      <c r="D3" s="1870"/>
      <c r="E3" s="1870"/>
      <c r="F3" s="1870"/>
      <c r="G3" s="1870"/>
      <c r="H3" s="1870"/>
      <c r="J3" s="1860"/>
      <c r="K3" s="1861"/>
      <c r="L3" s="1861"/>
      <c r="M3" s="1861"/>
      <c r="N3" s="1861"/>
      <c r="O3" s="1861"/>
      <c r="P3" s="1861"/>
      <c r="Q3" s="1861"/>
      <c r="R3" s="1862"/>
      <c r="T3" s="1291"/>
      <c r="U3" s="1765"/>
      <c r="V3" s="1765"/>
      <c r="W3" s="1766"/>
    </row>
    <row r="4" spans="1:23" ht="14.1" customHeight="1">
      <c r="A4" s="1870"/>
      <c r="B4" s="1870"/>
      <c r="C4" s="1870"/>
      <c r="D4" s="1870"/>
      <c r="E4" s="1870"/>
      <c r="F4" s="1870"/>
      <c r="G4" s="1870"/>
      <c r="H4" s="1870"/>
      <c r="I4" s="1311"/>
      <c r="J4" s="1860"/>
      <c r="K4" s="1861"/>
      <c r="L4" s="1861"/>
      <c r="M4" s="1861"/>
      <c r="N4" s="1861"/>
      <c r="O4" s="1861"/>
      <c r="P4" s="1861"/>
      <c r="Q4" s="1861"/>
      <c r="R4" s="1862"/>
      <c r="T4" s="1291"/>
      <c r="U4" s="1765"/>
      <c r="V4" s="1765"/>
      <c r="W4" s="1766"/>
    </row>
    <row r="5" spans="1:23" ht="14.1" customHeight="1">
      <c r="A5" s="1870"/>
      <c r="B5" s="1870"/>
      <c r="C5" s="1870"/>
      <c r="D5" s="1870"/>
      <c r="E5" s="1870"/>
      <c r="F5" s="1870"/>
      <c r="G5" s="1870"/>
      <c r="H5" s="1870"/>
      <c r="I5" s="1311"/>
      <c r="J5" s="1860"/>
      <c r="K5" s="1861"/>
      <c r="L5" s="1861"/>
      <c r="M5" s="1861"/>
      <c r="N5" s="1861"/>
      <c r="O5" s="1861"/>
      <c r="P5" s="1861"/>
      <c r="Q5" s="1861"/>
      <c r="R5" s="1862"/>
      <c r="T5" s="1291"/>
      <c r="U5" s="1765"/>
      <c r="V5" s="1765"/>
      <c r="W5" s="1766"/>
    </row>
    <row r="6" spans="1:23" ht="14.1" customHeight="1" thickBot="1">
      <c r="A6" s="1870"/>
      <c r="B6" s="1870"/>
      <c r="C6" s="1870"/>
      <c r="D6" s="1870"/>
      <c r="E6" s="1870"/>
      <c r="F6" s="1870"/>
      <c r="G6" s="1870"/>
      <c r="H6" s="1870"/>
      <c r="I6" s="1311"/>
      <c r="J6" s="1863"/>
      <c r="K6" s="1864"/>
      <c r="L6" s="1864"/>
      <c r="M6" s="1864"/>
      <c r="N6" s="1864"/>
      <c r="O6" s="1864"/>
      <c r="P6" s="1864"/>
      <c r="Q6" s="1864"/>
      <c r="R6" s="1865"/>
      <c r="T6" s="1291"/>
      <c r="U6" s="1765"/>
      <c r="V6" s="1765"/>
      <c r="W6" s="1766"/>
    </row>
    <row r="7" spans="1:23" s="1297" customFormat="1" ht="72" customHeight="1" thickBot="1">
      <c r="A7" s="1"/>
      <c r="B7" s="1"/>
      <c r="C7" s="1"/>
      <c r="D7" s="1"/>
      <c r="E7" s="1"/>
      <c r="F7" s="1"/>
      <c r="G7" s="1"/>
      <c r="H7" s="1"/>
      <c r="J7" s="1764"/>
      <c r="K7" s="1764"/>
      <c r="L7" s="1764"/>
      <c r="M7" s="1764"/>
      <c r="N7" s="1764"/>
      <c r="O7" s="1764"/>
      <c r="P7" s="1764"/>
      <c r="Q7" s="1764"/>
      <c r="R7" s="1764"/>
      <c r="T7" s="1291"/>
      <c r="U7" s="1765"/>
      <c r="V7" s="1765"/>
      <c r="W7" s="1766"/>
    </row>
    <row r="8" spans="1:23" ht="16.5" customHeight="1">
      <c r="A8" s="1312"/>
      <c r="B8" s="1312"/>
      <c r="C8" s="1312"/>
      <c r="D8" s="1312"/>
      <c r="E8" s="1312"/>
      <c r="F8" s="1312"/>
      <c r="G8" s="1312"/>
      <c r="H8" s="1312"/>
      <c r="U8" s="1766"/>
      <c r="V8" s="1766"/>
      <c r="W8" s="1766"/>
    </row>
    <row r="9" spans="1:23" ht="12.75" customHeight="1">
      <c r="A9" s="3" t="s">
        <v>1901</v>
      </c>
      <c r="B9" s="3"/>
      <c r="C9" s="3"/>
      <c r="D9" s="3"/>
      <c r="E9" s="3"/>
      <c r="F9" s="3"/>
      <c r="G9" s="4"/>
      <c r="H9" s="1"/>
    </row>
    <row r="10" spans="1:23" ht="12.75" customHeight="1">
      <c r="A10" s="1871" t="s">
        <v>1333</v>
      </c>
      <c r="B10" s="1872"/>
      <c r="C10" s="1872"/>
      <c r="D10" s="1872"/>
      <c r="E10" s="1872"/>
      <c r="F10" s="1872"/>
      <c r="G10" s="1872"/>
      <c r="H10" s="1872"/>
    </row>
    <row r="11" spans="1:23" ht="13.5" customHeight="1">
      <c r="A11" s="1872"/>
      <c r="B11" s="1872"/>
      <c r="C11" s="1872"/>
      <c r="D11" s="1872"/>
      <c r="E11" s="1872"/>
      <c r="F11" s="1872"/>
      <c r="G11" s="1872"/>
      <c r="H11" s="1872"/>
    </row>
    <row r="12" spans="1:23">
      <c r="A12" s="3"/>
      <c r="B12" s="1"/>
      <c r="C12" s="1"/>
      <c r="D12" s="1"/>
      <c r="E12" s="1"/>
      <c r="F12" s="1"/>
      <c r="G12" s="1"/>
      <c r="H12" s="1"/>
      <c r="J12" s="1866" t="s">
        <v>2999</v>
      </c>
      <c r="K12" s="1866"/>
      <c r="L12" s="1866"/>
      <c r="M12" s="1866"/>
      <c r="N12" s="1866"/>
      <c r="O12" s="1866"/>
    </row>
    <row r="13" spans="1:23" ht="14.1" customHeight="1">
      <c r="A13" s="1868" t="s">
        <v>2623</v>
      </c>
      <c r="B13" s="1868"/>
      <c r="C13" s="1868"/>
      <c r="D13" s="1868"/>
      <c r="E13" s="1868"/>
      <c r="F13" s="1868"/>
      <c r="G13" s="1868"/>
      <c r="H13" s="1868"/>
      <c r="J13" s="1866"/>
      <c r="K13" s="1866"/>
      <c r="L13" s="1866"/>
      <c r="M13" s="1866"/>
      <c r="N13" s="1866"/>
      <c r="O13" s="1866"/>
    </row>
    <row r="14" spans="1:23" ht="14.1" customHeight="1">
      <c r="A14" s="1868" t="s">
        <v>1902</v>
      </c>
      <c r="B14" s="1868"/>
      <c r="C14" s="1868"/>
      <c r="D14" s="1868"/>
      <c r="E14" s="1868"/>
      <c r="F14" s="1868"/>
      <c r="G14" s="1868"/>
      <c r="H14" s="1868"/>
      <c r="J14" s="1866"/>
      <c r="K14" s="1866"/>
      <c r="L14" s="1866"/>
      <c r="M14" s="1866"/>
      <c r="N14" s="1866"/>
      <c r="O14" s="1866"/>
    </row>
    <row r="15" spans="1:23" ht="12.75" customHeight="1">
      <c r="J15" s="1866"/>
      <c r="K15" s="1866"/>
      <c r="L15" s="1866"/>
      <c r="M15" s="1866"/>
      <c r="N15" s="1866"/>
      <c r="O15" s="1866"/>
    </row>
    <row r="16" spans="1:23">
      <c r="J16" s="1866"/>
      <c r="K16" s="1866"/>
      <c r="L16" s="1866"/>
      <c r="M16" s="1866"/>
      <c r="N16" s="1866"/>
      <c r="O16" s="1866"/>
    </row>
    <row r="17" spans="1:18">
      <c r="J17" s="1866"/>
      <c r="K17" s="1866"/>
      <c r="L17" s="1866"/>
      <c r="M17" s="1866"/>
      <c r="N17" s="1866"/>
      <c r="O17" s="1866"/>
    </row>
    <row r="18" spans="1:18" ht="13.5" customHeight="1">
      <c r="J18" s="1866"/>
      <c r="K18" s="1866"/>
      <c r="L18" s="1866"/>
      <c r="M18" s="1866"/>
      <c r="N18" s="1866"/>
      <c r="O18" s="1866"/>
    </row>
    <row r="19" spans="1:18" ht="12.75" customHeight="1">
      <c r="J19" s="1866"/>
      <c r="K19" s="1866"/>
      <c r="L19" s="1866"/>
      <c r="M19" s="1866"/>
      <c r="N19" s="1866"/>
      <c r="O19" s="1866"/>
    </row>
    <row r="20" spans="1:18" ht="12.75" customHeight="1">
      <c r="A20" s="1"/>
      <c r="B20" s="1"/>
      <c r="C20" s="1"/>
      <c r="D20" s="1"/>
      <c r="E20" s="1"/>
      <c r="F20" s="1"/>
      <c r="G20" s="1"/>
      <c r="H20" s="1"/>
      <c r="J20" s="1866"/>
      <c r="K20" s="1866"/>
      <c r="L20" s="1866"/>
      <c r="M20" s="1866"/>
      <c r="N20" s="1866"/>
      <c r="O20" s="1866"/>
    </row>
    <row r="21" spans="1:18" ht="12.75" customHeight="1">
      <c r="A21" s="1868" t="s">
        <v>2630</v>
      </c>
      <c r="B21" s="1868"/>
      <c r="C21" s="1868"/>
      <c r="D21" s="1868"/>
      <c r="E21" s="1868"/>
      <c r="F21" s="1868"/>
      <c r="G21" s="1868"/>
      <c r="H21" s="1868"/>
      <c r="J21" s="1866"/>
      <c r="K21" s="1866"/>
      <c r="L21" s="1866"/>
      <c r="M21" s="1866"/>
      <c r="N21" s="1866"/>
      <c r="O21" s="1866"/>
    </row>
    <row r="22" spans="1:18" ht="12.75" customHeight="1">
      <c r="A22" s="1873" t="s">
        <v>2622</v>
      </c>
      <c r="B22" s="1873"/>
      <c r="C22" s="1873"/>
      <c r="D22" s="1873"/>
      <c r="E22" s="1873"/>
      <c r="F22" s="1873"/>
      <c r="G22" s="1873"/>
      <c r="H22" s="1873"/>
      <c r="J22" s="1866"/>
      <c r="K22" s="1866"/>
      <c r="L22" s="1866"/>
      <c r="M22" s="1866"/>
      <c r="N22" s="1866"/>
      <c r="O22" s="1866"/>
    </row>
    <row r="23" spans="1:18" ht="12.75" customHeight="1">
      <c r="A23" s="1869" t="s">
        <v>2628</v>
      </c>
      <c r="B23" s="1869"/>
      <c r="C23" s="1869"/>
      <c r="D23" s="1869"/>
      <c r="E23" s="1869"/>
      <c r="F23" s="1869"/>
      <c r="G23" s="1869"/>
      <c r="H23" s="1869"/>
      <c r="J23" s="1866"/>
      <c r="K23" s="1866"/>
      <c r="L23" s="1866"/>
      <c r="M23" s="1866"/>
      <c r="N23" s="1866"/>
      <c r="O23" s="1866"/>
    </row>
    <row r="24" spans="1:18">
      <c r="A24" s="1869"/>
      <c r="B24" s="1869"/>
      <c r="C24" s="1869"/>
      <c r="D24" s="1869"/>
      <c r="E24" s="1869"/>
      <c r="F24" s="1869"/>
      <c r="G24" s="1869"/>
      <c r="H24" s="1869"/>
      <c r="J24" s="1866"/>
      <c r="K24" s="1866"/>
      <c r="L24" s="1866"/>
      <c r="M24" s="1866"/>
      <c r="N24" s="1866"/>
      <c r="O24" s="1866"/>
    </row>
    <row r="25" spans="1:18">
      <c r="A25" s="1869"/>
      <c r="B25" s="1869"/>
      <c r="C25" s="1869"/>
      <c r="D25" s="1869"/>
      <c r="E25" s="1869"/>
      <c r="F25" s="1869"/>
      <c r="G25" s="1869"/>
      <c r="H25" s="1869"/>
      <c r="J25" s="1866"/>
      <c r="K25" s="1866"/>
      <c r="L25" s="1866"/>
      <c r="M25" s="1866"/>
      <c r="N25" s="1866"/>
      <c r="O25" s="1866"/>
    </row>
    <row r="26" spans="1:18" ht="14.1" customHeight="1">
      <c r="A26" s="1" t="s">
        <v>1903</v>
      </c>
      <c r="B26" s="1"/>
      <c r="C26" s="1"/>
      <c r="D26" s="1"/>
      <c r="E26" s="1"/>
      <c r="F26" s="1"/>
      <c r="G26" s="1"/>
      <c r="H26" s="1"/>
      <c r="J26" s="1866"/>
      <c r="K26" s="1866"/>
      <c r="L26" s="1866"/>
      <c r="M26" s="1866"/>
      <c r="N26" s="1866"/>
      <c r="O26" s="1866"/>
    </row>
    <row r="27" spans="1:18" ht="14.1" customHeight="1">
      <c r="A27" s="1" t="s">
        <v>672</v>
      </c>
      <c r="B27" s="1"/>
      <c r="C27" s="1"/>
      <c r="D27" s="1"/>
      <c r="E27" s="1"/>
      <c r="F27" s="1"/>
      <c r="G27" s="1"/>
      <c r="H27" s="1"/>
    </row>
    <row r="28" spans="1:18" ht="14.1" customHeight="1">
      <c r="A28" s="1"/>
      <c r="B28" s="1"/>
      <c r="C28" s="1"/>
      <c r="D28" s="1"/>
      <c r="E28" s="1"/>
      <c r="F28" s="1"/>
      <c r="G28" s="1"/>
      <c r="H28" s="1"/>
    </row>
    <row r="29" spans="1:18" ht="14.1" customHeight="1">
      <c r="A29" s="7" t="s">
        <v>2621</v>
      </c>
      <c r="B29" s="8"/>
      <c r="C29" s="8"/>
      <c r="D29" s="8"/>
      <c r="E29" s="8"/>
      <c r="F29" s="1315" t="s">
        <v>2627</v>
      </c>
      <c r="G29" s="8"/>
      <c r="H29" s="8"/>
      <c r="R29" s="1764" t="s">
        <v>3003</v>
      </c>
    </row>
    <row r="35" spans="1:8">
      <c r="A35" s="1" t="s">
        <v>2631</v>
      </c>
      <c r="B35" s="1"/>
      <c r="C35" s="1"/>
      <c r="D35" s="1"/>
      <c r="E35" s="1"/>
      <c r="F35" s="1"/>
      <c r="G35" s="1"/>
      <c r="H35" s="1"/>
    </row>
    <row r="36" spans="1:8" ht="25.5" customHeight="1">
      <c r="B36" s="1"/>
      <c r="C36" s="1"/>
      <c r="D36" s="1"/>
      <c r="E36" s="1"/>
      <c r="F36" s="1"/>
      <c r="G36" s="1"/>
      <c r="H36" s="1"/>
    </row>
    <row r="37" spans="1:8" ht="12.75" customHeight="1">
      <c r="A37" s="1"/>
      <c r="B37" s="1"/>
      <c r="C37" s="1"/>
      <c r="D37" s="1"/>
      <c r="E37" s="1"/>
      <c r="F37" s="1"/>
      <c r="G37" s="1"/>
      <c r="H37" s="5"/>
    </row>
    <row r="38" spans="1:8" ht="12.75" customHeight="1">
      <c r="A38" s="1"/>
      <c r="B38" s="1"/>
      <c r="C38" s="1"/>
      <c r="D38" s="1"/>
      <c r="E38" s="1"/>
      <c r="F38" s="1"/>
      <c r="G38" s="1"/>
      <c r="H38" s="1"/>
    </row>
    <row r="39" spans="1:8" ht="12.75" customHeight="1">
      <c r="A39" s="1"/>
      <c r="B39" s="1"/>
      <c r="C39" s="1867"/>
      <c r="D39" s="1867"/>
      <c r="E39" s="1"/>
      <c r="F39" s="1"/>
      <c r="G39" s="1"/>
      <c r="H39" s="1"/>
    </row>
    <row r="40" spans="1:8" ht="12.75" customHeight="1">
      <c r="A40" s="1"/>
      <c r="B40" s="1"/>
      <c r="C40" s="1867"/>
      <c r="D40" s="1867"/>
      <c r="E40" s="1"/>
      <c r="F40" s="1"/>
      <c r="G40" s="1"/>
      <c r="H40" s="1"/>
    </row>
    <row r="41" spans="1:8" ht="12.75" customHeight="1">
      <c r="A41" s="1"/>
      <c r="B41" s="1"/>
      <c r="C41" s="1867"/>
      <c r="D41" s="1867"/>
      <c r="E41" s="1"/>
      <c r="F41" s="1"/>
      <c r="G41" s="1"/>
      <c r="H41" s="1"/>
    </row>
    <row r="42" spans="1:8" ht="12.75" customHeight="1">
      <c r="A42" s="1291"/>
      <c r="B42" s="1291"/>
    </row>
    <row r="43" spans="1:8" ht="12.75" customHeight="1">
      <c r="A43" s="1291" t="s">
        <v>2309</v>
      </c>
      <c r="B43" s="1291"/>
    </row>
    <row r="44" spans="1:8" ht="12.75" customHeight="1">
      <c r="A44" s="1291" t="s">
        <v>2308</v>
      </c>
      <c r="B44" s="1291" t="s">
        <v>1124</v>
      </c>
    </row>
  </sheetData>
  <mergeCells count="13">
    <mergeCell ref="J2:R6"/>
    <mergeCell ref="J12:O26"/>
    <mergeCell ref="C39:D41"/>
    <mergeCell ref="A13:H13"/>
    <mergeCell ref="A14:H14"/>
    <mergeCell ref="A23:H25"/>
    <mergeCell ref="A21:H21"/>
    <mergeCell ref="A3:H3"/>
    <mergeCell ref="A4:H4"/>
    <mergeCell ref="A5:H5"/>
    <mergeCell ref="A6:H6"/>
    <mergeCell ref="A10:H11"/>
    <mergeCell ref="A22:H22"/>
  </mergeCells>
  <hyperlinks>
    <hyperlink ref="A22" r:id="rId1"/>
    <hyperlink ref="F29" r:id="rId2"/>
  </hyperlinks>
  <printOptions horizontalCentered="1"/>
  <pageMargins left="0.59055118110236227" right="0.59055118110236227" top="0.59055118110236227" bottom="0.59055118110236227" header="0.51181102362204722" footer="0.27559055118110237"/>
  <pageSetup paperSize="9" scale="89" firstPageNumber="0" orientation="portrait" r:id="rId3"/>
  <headerFooter alignWithMargins="0">
    <oddFooter>&amp;LRSU 2020 - Présentation au CTP&amp;R&amp;P/&amp;N
&amp;A</oddFooter>
  </headerFooter>
  <drawing r:id="rId4"/>
</worksheet>
</file>

<file path=xl/worksheets/sheet10.xml><?xml version="1.0" encoding="utf-8"?>
<worksheet xmlns="http://schemas.openxmlformats.org/spreadsheetml/2006/main" xmlns:r="http://schemas.openxmlformats.org/officeDocument/2006/relationships">
  <sheetPr codeName="Feuil88">
    <tabColor rgb="FFFFC000"/>
  </sheetPr>
  <dimension ref="A1"/>
  <sheetViews>
    <sheetView workbookViewId="0"/>
  </sheetViews>
  <sheetFormatPr baseColWidth="10" defaultColWidth="9.140625" defaultRowHeight="15"/>
  <cols>
    <col min="1" max="16384" width="9.140625" style="1293" collapsed="1"/>
  </cols>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codeName="Feuil3">
    <pageSetUpPr fitToPage="1"/>
  </sheetPr>
  <dimension ref="A1:B145"/>
  <sheetViews>
    <sheetView showGridLines="0" topLeftCell="A67" workbookViewId="0">
      <selection activeCell="B92" sqref="B92"/>
    </sheetView>
  </sheetViews>
  <sheetFormatPr baseColWidth="10" defaultColWidth="10.85546875" defaultRowHeight="12.75" customHeight="1"/>
  <cols>
    <col min="1" max="1" width="144.28515625" customWidth="1"/>
    <col min="2" max="2" width="18.28515625" customWidth="1"/>
  </cols>
  <sheetData>
    <row r="1" spans="1:2" ht="18.75" thickBot="1">
      <c r="A1" s="385" t="s">
        <v>1164</v>
      </c>
      <c r="B1" s="21"/>
    </row>
    <row r="2" spans="1:2" ht="12" customHeight="1">
      <c r="A2" s="43" t="s">
        <v>566</v>
      </c>
      <c r="B2" s="43"/>
    </row>
    <row r="3" spans="1:2">
      <c r="A3" s="44" t="s">
        <v>56</v>
      </c>
      <c r="B3" s="386" t="s">
        <v>567</v>
      </c>
    </row>
    <row r="4" spans="1:2" ht="9" customHeight="1" thickBot="1">
      <c r="A4" s="9"/>
      <c r="B4" s="1"/>
    </row>
    <row r="5" spans="1:2" ht="12.75" customHeight="1" thickBot="1">
      <c r="A5" s="46" t="s">
        <v>568</v>
      </c>
      <c r="B5" s="45"/>
    </row>
    <row r="6" spans="1:2">
      <c r="A6" s="47"/>
      <c r="B6" s="45"/>
    </row>
    <row r="7" spans="1:2">
      <c r="A7" s="48" t="s">
        <v>2315</v>
      </c>
      <c r="B7" s="49" t="s">
        <v>142</v>
      </c>
    </row>
    <row r="8" spans="1:2">
      <c r="A8" s="214" t="s">
        <v>2316</v>
      </c>
      <c r="B8" s="49" t="s">
        <v>143</v>
      </c>
    </row>
    <row r="9" spans="1:2">
      <c r="A9" s="214"/>
      <c r="B9" s="49"/>
    </row>
    <row r="10" spans="1:2" ht="25.5">
      <c r="A10" s="48" t="s">
        <v>2317</v>
      </c>
      <c r="B10" s="49" t="s">
        <v>144</v>
      </c>
    </row>
    <row r="11" spans="1:2" ht="38.25">
      <c r="A11" s="214" t="s">
        <v>2318</v>
      </c>
      <c r="B11" s="49" t="s">
        <v>145</v>
      </c>
    </row>
    <row r="12" spans="1:2">
      <c r="A12" s="214"/>
      <c r="B12" s="49"/>
    </row>
    <row r="13" spans="1:2" ht="27" customHeight="1">
      <c r="A13" s="48" t="s">
        <v>2319</v>
      </c>
      <c r="B13" s="49" t="s">
        <v>511</v>
      </c>
    </row>
    <row r="14" spans="1:2" ht="24.75" customHeight="1">
      <c r="A14" s="214" t="s">
        <v>2320</v>
      </c>
      <c r="B14" s="49" t="s">
        <v>512</v>
      </c>
    </row>
    <row r="15" spans="1:2" ht="14.25" customHeight="1">
      <c r="A15" s="50"/>
      <c r="B15" s="49"/>
    </row>
    <row r="16" spans="1:2" ht="12.75" customHeight="1">
      <c r="A16" s="48" t="s">
        <v>117</v>
      </c>
      <c r="B16" s="49" t="s">
        <v>513</v>
      </c>
    </row>
    <row r="17" spans="1:2" ht="12.75" customHeight="1">
      <c r="A17" s="9" t="s">
        <v>118</v>
      </c>
      <c r="B17" s="49" t="s">
        <v>514</v>
      </c>
    </row>
    <row r="18" spans="1:2" ht="12.75" customHeight="1">
      <c r="A18" s="9"/>
      <c r="B18" s="49"/>
    </row>
    <row r="19" spans="1:2" ht="12.75" customHeight="1">
      <c r="A19" s="1" t="s">
        <v>2398</v>
      </c>
      <c r="B19" s="49" t="s">
        <v>515</v>
      </c>
    </row>
    <row r="20" spans="1:2" ht="12.75" customHeight="1">
      <c r="A20" s="9"/>
      <c r="B20" s="49"/>
    </row>
    <row r="21" spans="1:2" ht="38.25">
      <c r="A21" s="48" t="s">
        <v>2321</v>
      </c>
      <c r="B21" s="49" t="s">
        <v>516</v>
      </c>
    </row>
    <row r="22" spans="1:2" ht="25.5" customHeight="1">
      <c r="A22" s="214" t="s">
        <v>2322</v>
      </c>
      <c r="B22" s="49" t="s">
        <v>935</v>
      </c>
    </row>
    <row r="23" spans="1:2" ht="15" customHeight="1">
      <c r="A23" s="387"/>
      <c r="B23" s="49"/>
    </row>
    <row r="24" spans="1:2" ht="25.5" customHeight="1">
      <c r="A24" s="48" t="s">
        <v>2323</v>
      </c>
      <c r="B24" s="49" t="s">
        <v>517</v>
      </c>
    </row>
    <row r="25" spans="1:2" ht="25.5">
      <c r="A25" s="214" t="s">
        <v>2324</v>
      </c>
      <c r="B25" s="49" t="s">
        <v>518</v>
      </c>
    </row>
    <row r="26" spans="1:2">
      <c r="A26" s="214"/>
      <c r="B26" s="49"/>
    </row>
    <row r="27" spans="1:2" ht="12" customHeight="1">
      <c r="A27" s="48" t="s">
        <v>2325</v>
      </c>
      <c r="B27" s="49" t="s">
        <v>519</v>
      </c>
    </row>
    <row r="28" spans="1:2">
      <c r="A28" s="9" t="s">
        <v>2326</v>
      </c>
      <c r="B28" s="49" t="s">
        <v>520</v>
      </c>
    </row>
    <row r="29" spans="1:2" ht="12.75" customHeight="1">
      <c r="A29" s="1" t="s">
        <v>2399</v>
      </c>
      <c r="B29" s="49" t="s">
        <v>521</v>
      </c>
    </row>
    <row r="30" spans="1:2">
      <c r="A30" s="9"/>
      <c r="B30" s="45"/>
    </row>
    <row r="31" spans="1:2">
      <c r="A31" s="51" t="s">
        <v>522</v>
      </c>
      <c r="B31" s="49" t="s">
        <v>523</v>
      </c>
    </row>
    <row r="32" spans="1:2">
      <c r="A32" s="1" t="s">
        <v>2170</v>
      </c>
      <c r="B32" s="49" t="s">
        <v>524</v>
      </c>
    </row>
    <row r="33" spans="1:2">
      <c r="A33" s="1" t="s">
        <v>1840</v>
      </c>
      <c r="B33" s="49" t="s">
        <v>525</v>
      </c>
    </row>
    <row r="34" spans="1:2">
      <c r="A34" s="9"/>
      <c r="B34" s="45"/>
    </row>
    <row r="35" spans="1:2">
      <c r="A35" s="51" t="s">
        <v>2327</v>
      </c>
      <c r="B35" s="49" t="s">
        <v>651</v>
      </c>
    </row>
    <row r="36" spans="1:2">
      <c r="A36" s="9" t="s">
        <v>1487</v>
      </c>
      <c r="B36" s="54" t="s">
        <v>1488</v>
      </c>
    </row>
    <row r="37" spans="1:2">
      <c r="A37" s="1" t="s">
        <v>668</v>
      </c>
      <c r="B37" s="54" t="s">
        <v>1488</v>
      </c>
    </row>
    <row r="38" spans="1:2">
      <c r="A38" s="1" t="s">
        <v>1381</v>
      </c>
      <c r="B38" s="54" t="s">
        <v>1488</v>
      </c>
    </row>
    <row r="39" spans="1:2" ht="12.75" customHeight="1">
      <c r="A39" s="917" t="s">
        <v>2098</v>
      </c>
      <c r="B39" s="54" t="s">
        <v>1488</v>
      </c>
    </row>
    <row r="40" spans="1:2">
      <c r="A40" s="9"/>
      <c r="B40" s="45"/>
    </row>
    <row r="41" spans="1:2">
      <c r="A41" s="51" t="s">
        <v>2449</v>
      </c>
      <c r="B41" s="49" t="s">
        <v>1559</v>
      </c>
    </row>
    <row r="42" spans="1:2">
      <c r="A42" s="1" t="s">
        <v>2450</v>
      </c>
      <c r="B42" s="49" t="s">
        <v>1560</v>
      </c>
    </row>
    <row r="43" spans="1:2">
      <c r="A43" s="1"/>
      <c r="B43" s="49"/>
    </row>
    <row r="44" spans="1:2">
      <c r="A44" s="51" t="s">
        <v>2451</v>
      </c>
      <c r="B44" s="49" t="s">
        <v>1561</v>
      </c>
    </row>
    <row r="45" spans="1:2">
      <c r="A45" s="1" t="s">
        <v>2452</v>
      </c>
      <c r="B45" s="49" t="s">
        <v>1562</v>
      </c>
    </row>
    <row r="46" spans="1:2">
      <c r="A46" s="1"/>
      <c r="B46" s="49"/>
    </row>
    <row r="47" spans="1:2">
      <c r="A47" s="51" t="s">
        <v>2453</v>
      </c>
      <c r="B47" s="49" t="s">
        <v>1563</v>
      </c>
    </row>
    <row r="48" spans="1:2">
      <c r="A48" s="1" t="s">
        <v>2454</v>
      </c>
      <c r="B48" s="49" t="s">
        <v>1564</v>
      </c>
    </row>
    <row r="49" spans="1:2">
      <c r="A49" s="1"/>
      <c r="B49" s="49"/>
    </row>
    <row r="50" spans="1:2">
      <c r="A50" s="51" t="s">
        <v>2455</v>
      </c>
      <c r="B50" s="49" t="s">
        <v>1565</v>
      </c>
    </row>
    <row r="51" spans="1:2">
      <c r="A51" s="1" t="s">
        <v>2456</v>
      </c>
      <c r="B51" s="49" t="s">
        <v>1566</v>
      </c>
    </row>
    <row r="52" spans="1:2">
      <c r="A52" s="9"/>
      <c r="B52" s="49"/>
    </row>
    <row r="53" spans="1:2">
      <c r="A53" s="51" t="s">
        <v>2457</v>
      </c>
      <c r="B53" s="49" t="s">
        <v>1558</v>
      </c>
    </row>
    <row r="54" spans="1:2" ht="13.5" customHeight="1">
      <c r="A54" s="214" t="s">
        <v>2458</v>
      </c>
      <c r="B54" s="977" t="s">
        <v>1534</v>
      </c>
    </row>
    <row r="55" spans="1:2">
      <c r="A55" s="214" t="s">
        <v>2459</v>
      </c>
      <c r="B55" s="977" t="s">
        <v>1534</v>
      </c>
    </row>
    <row r="56" spans="1:2">
      <c r="A56" s="214" t="s">
        <v>2460</v>
      </c>
      <c r="B56" s="54" t="s">
        <v>669</v>
      </c>
    </row>
    <row r="57" spans="1:2">
      <c r="A57" s="214" t="s">
        <v>507</v>
      </c>
      <c r="B57" s="49" t="s">
        <v>2161</v>
      </c>
    </row>
    <row r="58" spans="1:2">
      <c r="A58" s="9"/>
      <c r="B58" s="45"/>
    </row>
    <row r="59" spans="1:2" ht="12.75" customHeight="1">
      <c r="A59" s="48" t="s">
        <v>2168</v>
      </c>
      <c r="B59" s="49" t="s">
        <v>1567</v>
      </c>
    </row>
    <row r="60" spans="1:2" ht="14.25" customHeight="1">
      <c r="A60" s="214" t="s">
        <v>2328</v>
      </c>
      <c r="B60" s="49" t="s">
        <v>1568</v>
      </c>
    </row>
    <row r="61" spans="1:2">
      <c r="A61" s="965" t="s">
        <v>824</v>
      </c>
      <c r="B61" s="49" t="s">
        <v>1569</v>
      </c>
    </row>
    <row r="62" spans="1:2">
      <c r="A62" s="9"/>
      <c r="B62" s="49"/>
    </row>
    <row r="63" spans="1:2">
      <c r="A63" s="1" t="s">
        <v>2329</v>
      </c>
      <c r="B63" s="49" t="s">
        <v>2274</v>
      </c>
    </row>
    <row r="64" spans="1:2" ht="12.75" customHeight="1" thickBot="1">
      <c r="A64" s="9"/>
      <c r="B64" s="45"/>
    </row>
    <row r="65" spans="1:2" ht="13.5" thickBot="1">
      <c r="A65" s="46" t="s">
        <v>2275</v>
      </c>
      <c r="B65" s="45"/>
    </row>
    <row r="66" spans="1:2">
      <c r="A66" s="9"/>
      <c r="B66" s="45"/>
    </row>
    <row r="67" spans="1:2">
      <c r="A67" s="48" t="s">
        <v>1556</v>
      </c>
      <c r="B67" s="54" t="s">
        <v>1557</v>
      </c>
    </row>
    <row r="68" spans="1:2">
      <c r="A68" s="394" t="s">
        <v>540</v>
      </c>
      <c r="B68" s="384" t="s">
        <v>158</v>
      </c>
    </row>
    <row r="69" spans="1:2" ht="25.5" customHeight="1">
      <c r="A69" s="214" t="s">
        <v>2330</v>
      </c>
      <c r="B69" s="49" t="s">
        <v>2276</v>
      </c>
    </row>
    <row r="70" spans="1:2" ht="27" customHeight="1">
      <c r="A70" s="214" t="s">
        <v>2331</v>
      </c>
      <c r="B70" s="49" t="s">
        <v>2277</v>
      </c>
    </row>
    <row r="71" spans="1:2" ht="38.25">
      <c r="A71" s="214" t="s">
        <v>2332</v>
      </c>
      <c r="B71" s="49" t="s">
        <v>2278</v>
      </c>
    </row>
    <row r="72" spans="1:2" ht="13.5" customHeight="1">
      <c r="A72" s="5" t="s">
        <v>1277</v>
      </c>
      <c r="B72" s="977" t="s">
        <v>544</v>
      </c>
    </row>
    <row r="73" spans="1:2" ht="12.75" customHeight="1">
      <c r="A73" s="387" t="s">
        <v>1009</v>
      </c>
      <c r="B73" s="977" t="s">
        <v>544</v>
      </c>
    </row>
    <row r="74" spans="1:2" ht="12.75" customHeight="1">
      <c r="A74" s="387" t="s">
        <v>1008</v>
      </c>
      <c r="B74" s="977" t="s">
        <v>544</v>
      </c>
    </row>
    <row r="75" spans="1:2">
      <c r="A75" s="1" t="s">
        <v>828</v>
      </c>
      <c r="B75" s="977" t="s">
        <v>545</v>
      </c>
    </row>
    <row r="76" spans="1:2">
      <c r="A76" s="9"/>
      <c r="B76" s="45"/>
    </row>
    <row r="77" spans="1:2">
      <c r="A77" s="27" t="s">
        <v>1289</v>
      </c>
      <c r="B77" s="49" t="s">
        <v>629</v>
      </c>
    </row>
    <row r="78" spans="1:2">
      <c r="A78" s="1" t="s">
        <v>1537</v>
      </c>
      <c r="B78" s="54" t="s">
        <v>2279</v>
      </c>
    </row>
    <row r="79" spans="1:2">
      <c r="A79" s="9" t="s">
        <v>2280</v>
      </c>
      <c r="B79" s="54" t="s">
        <v>2279</v>
      </c>
    </row>
    <row r="80" spans="1:2">
      <c r="A80" s="9" t="s">
        <v>2211</v>
      </c>
      <c r="B80" s="54" t="s">
        <v>2279</v>
      </c>
    </row>
    <row r="81" spans="1:2">
      <c r="A81" s="9" t="s">
        <v>2212</v>
      </c>
      <c r="B81" s="54" t="s">
        <v>2279</v>
      </c>
    </row>
    <row r="82" spans="1:2">
      <c r="A82" s="9" t="s">
        <v>437</v>
      </c>
      <c r="B82" s="54" t="s">
        <v>628</v>
      </c>
    </row>
    <row r="83" spans="1:2">
      <c r="A83" s="214" t="s">
        <v>841</v>
      </c>
      <c r="B83" s="49" t="s">
        <v>843</v>
      </c>
    </row>
    <row r="84" spans="1:2">
      <c r="A84" s="1" t="s">
        <v>756</v>
      </c>
      <c r="B84" s="54" t="s">
        <v>842</v>
      </c>
    </row>
    <row r="85" spans="1:2">
      <c r="A85" s="9"/>
      <c r="B85" s="49"/>
    </row>
    <row r="86" spans="1:2">
      <c r="A86" s="1" t="s">
        <v>1538</v>
      </c>
      <c r="B86" s="49" t="s">
        <v>438</v>
      </c>
    </row>
    <row r="87" spans="1:2" ht="13.5" thickBot="1">
      <c r="A87" s="9"/>
      <c r="B87" s="49"/>
    </row>
    <row r="88" spans="1:2" ht="12.75" customHeight="1" thickBot="1">
      <c r="A88" s="46" t="s">
        <v>1132</v>
      </c>
      <c r="B88" s="49"/>
    </row>
    <row r="89" spans="1:2" ht="12" customHeight="1">
      <c r="A89" s="9"/>
      <c r="B89" s="45"/>
    </row>
    <row r="90" spans="1:2" ht="10.5" customHeight="1">
      <c r="A90" s="52" t="s">
        <v>633</v>
      </c>
      <c r="B90" s="1146" t="s">
        <v>630</v>
      </c>
    </row>
    <row r="91" spans="1:2" ht="14.25" customHeight="1">
      <c r="A91" s="214" t="s">
        <v>2461</v>
      </c>
      <c r="B91" s="977" t="s">
        <v>844</v>
      </c>
    </row>
    <row r="92" spans="1:2">
      <c r="A92" s="214" t="s">
        <v>2462</v>
      </c>
      <c r="B92" s="977" t="s">
        <v>844</v>
      </c>
    </row>
    <row r="93" spans="1:2">
      <c r="A93" s="9" t="s">
        <v>439</v>
      </c>
      <c r="B93" s="977" t="s">
        <v>844</v>
      </c>
    </row>
    <row r="94" spans="1:2">
      <c r="A94" s="1" t="s">
        <v>2228</v>
      </c>
      <c r="B94" s="977" t="s">
        <v>844</v>
      </c>
    </row>
    <row r="95" spans="1:2">
      <c r="A95" s="968" t="s">
        <v>1874</v>
      </c>
      <c r="B95" s="977" t="s">
        <v>844</v>
      </c>
    </row>
    <row r="96" spans="1:2">
      <c r="A96" s="968"/>
      <c r="B96" s="977"/>
    </row>
    <row r="97" spans="1:2" ht="13.5" customHeight="1">
      <c r="A97" s="1" t="s">
        <v>2400</v>
      </c>
      <c r="B97" s="54" t="s">
        <v>2108</v>
      </c>
    </row>
    <row r="98" spans="1:2">
      <c r="A98" s="1" t="s">
        <v>2109</v>
      </c>
      <c r="B98" s="54" t="s">
        <v>2110</v>
      </c>
    </row>
    <row r="99" spans="1:2" ht="13.5" thickBot="1">
      <c r="A99" s="9"/>
      <c r="B99" s="49"/>
    </row>
    <row r="100" spans="1:2" ht="13.5" thickBot="1">
      <c r="A100" s="46" t="s">
        <v>920</v>
      </c>
      <c r="B100" s="1"/>
    </row>
    <row r="101" spans="1:2">
      <c r="A101" s="53"/>
      <c r="B101" s="1"/>
    </row>
    <row r="102" spans="1:2">
      <c r="A102" s="1" t="s">
        <v>921</v>
      </c>
      <c r="B102" s="978" t="s">
        <v>1131</v>
      </c>
    </row>
    <row r="103" spans="1:2" ht="12" customHeight="1">
      <c r="A103" s="1" t="s">
        <v>2463</v>
      </c>
      <c r="B103" s="978" t="s">
        <v>1131</v>
      </c>
    </row>
    <row r="104" spans="1:2">
      <c r="A104" s="1" t="s">
        <v>392</v>
      </c>
      <c r="B104" s="536" t="s">
        <v>1148</v>
      </c>
    </row>
    <row r="105" spans="1:2">
      <c r="A105" s="9"/>
      <c r="B105" s="49"/>
    </row>
    <row r="106" spans="1:2">
      <c r="A106" s="52" t="s">
        <v>634</v>
      </c>
      <c r="B106" s="1147" t="s">
        <v>635</v>
      </c>
    </row>
    <row r="107" spans="1:2">
      <c r="A107" s="1" t="s">
        <v>1408</v>
      </c>
      <c r="B107" s="536" t="s">
        <v>1409</v>
      </c>
    </row>
    <row r="108" spans="1:2">
      <c r="A108" s="9"/>
      <c r="B108" s="1"/>
    </row>
    <row r="109" spans="1:2">
      <c r="A109" s="214" t="s">
        <v>2464</v>
      </c>
      <c r="B109" s="536" t="s">
        <v>1149</v>
      </c>
    </row>
    <row r="110" spans="1:2">
      <c r="A110" s="214" t="s">
        <v>773</v>
      </c>
      <c r="B110" s="536" t="s">
        <v>1150</v>
      </c>
    </row>
    <row r="111" spans="1:2">
      <c r="A111" s="1" t="s">
        <v>2465</v>
      </c>
      <c r="B111" s="536" t="s">
        <v>1151</v>
      </c>
    </row>
    <row r="112" spans="1:2">
      <c r="A112" s="1" t="s">
        <v>2466</v>
      </c>
      <c r="B112" s="54" t="s">
        <v>1153</v>
      </c>
    </row>
    <row r="113" spans="1:2">
      <c r="A113" s="1" t="s">
        <v>1388</v>
      </c>
      <c r="B113" s="54" t="s">
        <v>1820</v>
      </c>
    </row>
    <row r="114" spans="1:2" ht="25.5" customHeight="1">
      <c r="A114" s="214" t="s">
        <v>2467</v>
      </c>
      <c r="B114" s="536" t="s">
        <v>1152</v>
      </c>
    </row>
    <row r="115" spans="1:2" ht="13.5" thickBot="1">
      <c r="A115" s="9"/>
      <c r="B115" s="45"/>
    </row>
    <row r="116" spans="1:2" ht="13.5" thickBot="1">
      <c r="A116" s="46" t="s">
        <v>1049</v>
      </c>
      <c r="B116" s="45"/>
    </row>
    <row r="117" spans="1:2">
      <c r="A117" s="9"/>
      <c r="B117" s="45"/>
    </row>
    <row r="118" spans="1:2">
      <c r="A118" s="51" t="s">
        <v>1159</v>
      </c>
      <c r="B118" s="536" t="s">
        <v>1154</v>
      </c>
    </row>
    <row r="119" spans="1:2" ht="13.5" customHeight="1">
      <c r="A119" s="214" t="s">
        <v>2401</v>
      </c>
      <c r="B119" s="978" t="s">
        <v>1155</v>
      </c>
    </row>
    <row r="120" spans="1:2" ht="38.25">
      <c r="A120" s="214" t="s">
        <v>2402</v>
      </c>
      <c r="B120" s="978" t="s">
        <v>1155</v>
      </c>
    </row>
    <row r="121" spans="1:2">
      <c r="A121" s="214"/>
      <c r="B121" s="536"/>
    </row>
    <row r="122" spans="1:2">
      <c r="A122" s="214" t="s">
        <v>2468</v>
      </c>
      <c r="B122" s="978" t="s">
        <v>1156</v>
      </c>
    </row>
    <row r="123" spans="1:2">
      <c r="A123" s="214" t="s">
        <v>2403</v>
      </c>
      <c r="B123" s="978" t="s">
        <v>1156</v>
      </c>
    </row>
    <row r="124" spans="1:2">
      <c r="A124" s="214"/>
      <c r="B124" s="536"/>
    </row>
    <row r="125" spans="1:2" ht="12.75" customHeight="1">
      <c r="A125" s="1" t="s">
        <v>2469</v>
      </c>
      <c r="B125" s="536" t="s">
        <v>440</v>
      </c>
    </row>
    <row r="126" spans="1:2">
      <c r="A126" s="9"/>
      <c r="B126" s="45"/>
    </row>
    <row r="127" spans="1:2">
      <c r="A127" s="1" t="s">
        <v>51</v>
      </c>
      <c r="B127" s="536" t="s">
        <v>1157</v>
      </c>
    </row>
    <row r="128" spans="1:2" ht="13.5" thickBot="1">
      <c r="A128" s="9"/>
      <c r="B128" s="45"/>
    </row>
    <row r="129" spans="1:2" ht="13.5" thickBot="1">
      <c r="A129" s="46" t="s">
        <v>1050</v>
      </c>
      <c r="B129" s="45"/>
    </row>
    <row r="130" spans="1:2">
      <c r="A130" s="9"/>
      <c r="B130" s="45"/>
    </row>
    <row r="131" spans="1:2">
      <c r="A131" s="1" t="s">
        <v>1160</v>
      </c>
      <c r="B131" s="978" t="s">
        <v>1158</v>
      </c>
    </row>
    <row r="132" spans="1:2">
      <c r="A132" s="1" t="s">
        <v>1161</v>
      </c>
      <c r="B132" s="978" t="s">
        <v>1158</v>
      </c>
    </row>
    <row r="133" spans="1:2">
      <c r="A133" s="1" t="s">
        <v>1162</v>
      </c>
      <c r="B133" s="978" t="s">
        <v>1158</v>
      </c>
    </row>
    <row r="134" spans="1:2">
      <c r="A134" s="1"/>
      <c r="B134" s="49"/>
    </row>
    <row r="135" spans="1:2">
      <c r="A135" s="51" t="s">
        <v>146</v>
      </c>
      <c r="B135" s="54" t="s">
        <v>147</v>
      </c>
    </row>
    <row r="136" spans="1:2">
      <c r="A136" s="5" t="s">
        <v>52</v>
      </c>
      <c r="B136" s="54" t="s">
        <v>441</v>
      </c>
    </row>
    <row r="137" spans="1:2">
      <c r="A137" s="9"/>
      <c r="B137" s="45"/>
    </row>
    <row r="138" spans="1:2">
      <c r="A138" s="51" t="s">
        <v>1278</v>
      </c>
      <c r="B138" s="536" t="s">
        <v>1163</v>
      </c>
    </row>
    <row r="139" spans="1:2" ht="13.5" customHeight="1">
      <c r="A139" s="1" t="s">
        <v>1051</v>
      </c>
      <c r="B139" s="977" t="s">
        <v>1463</v>
      </c>
    </row>
    <row r="140" spans="1:2">
      <c r="A140" s="1" t="s">
        <v>54</v>
      </c>
      <c r="B140" s="977" t="s">
        <v>1463</v>
      </c>
    </row>
    <row r="141" spans="1:2">
      <c r="A141" s="1" t="s">
        <v>1052</v>
      </c>
      <c r="B141" s="977" t="s">
        <v>1463</v>
      </c>
    </row>
    <row r="142" spans="1:2">
      <c r="A142" s="1"/>
      <c r="B142" s="54"/>
    </row>
    <row r="143" spans="1:2" ht="12.75" customHeight="1">
      <c r="A143" s="21" t="s">
        <v>55</v>
      </c>
      <c r="B143" s="54" t="s">
        <v>1464</v>
      </c>
    </row>
    <row r="145" spans="1:2" ht="12.75" customHeight="1">
      <c r="A145" s="21" t="s">
        <v>528</v>
      </c>
      <c r="B145" s="54" t="s">
        <v>529</v>
      </c>
    </row>
  </sheetData>
  <sheetProtection algorithmName="SHA-512" hashValue="1JZQspE4udwbAkaipVkihFlSbUKzpcKo+vbTWdcPw5s0zRdtzUrvNP6UwnS01AuZT3TpTq4YCIUd3BrhKFJIaw==" saltValue="NXj/92JBjXrYHlDcZy8XMw==" spinCount="100000" sheet="1" objects="1" scenarios="1"/>
  <hyperlinks>
    <hyperlink ref="B7" location="'Fiche 1.1.0'!A1" display="'Fiche 1.1.0'!A1"/>
    <hyperlink ref="B8" location="'IND 1.1.0'!A1" display="'IND 1.1.0'!A1"/>
    <hyperlink ref="B10" location="'Fiche 1.1.1'!A1" display="'Fiche 1.1.1'!A1"/>
    <hyperlink ref="B11" location="'IND 1.1.1'!A1" display="'IND 1.1.1'!A1"/>
    <hyperlink ref="B13" location="'Fiche 1.1.2'!A1" display="'Fiche 1.1.2'!A1"/>
    <hyperlink ref="B14" location="'IND 1.1.2'!A1" display="'IND 1.1.2'!A1"/>
    <hyperlink ref="B16" location="'Fiche 1.1.3'!A1" display="'Fiche 1.1.3'!A1"/>
    <hyperlink ref="B17" location="'IND 1.1.3'!A1" display="'IND 1.1.3'!A1"/>
    <hyperlink ref="B19" location="'IND 1.1.4'!A1" display="'IND 1.1.4'!A1"/>
    <hyperlink ref="B21" location="'Fiche 1.2.1'!A1" display="'Fiche 1.2.1'!A1"/>
    <hyperlink ref="B22" location="'IND 1.2.1'!A1" display="'IND 1.2.1'!A1"/>
    <hyperlink ref="B24" location="'Fiche 1.2.2'!A1" display="'Fiche 1.2.2'!A1"/>
    <hyperlink ref="B25" location="'IND 1.2.2'!A1" display="'IND 1.2.2'!A1"/>
    <hyperlink ref="B27" location="'Fiche 1.2.3'!A1" display="'Fiche 1.2.3'!A1"/>
    <hyperlink ref="B28" location="'IND 1.2.3'!A1" display="'IND 1.2.3'!A1"/>
    <hyperlink ref="B29" location="'IND 1.2.4'!A1" display="'IND 1.2.4'!A1"/>
    <hyperlink ref="B31" location="'Fiche 1.3.1-1.3.2'!A1" display="'Fiche 1.3.1-1.3.2'!A1"/>
    <hyperlink ref="B32" location="'IND 1.3.1'!A1" display="'IND 1.3.1'!A1"/>
    <hyperlink ref="B33" location="'IND 1.3.2'!A1" display="'IND 1.3.2'!A1"/>
    <hyperlink ref="B35" location="'Fiche 1.4.1-1.4.4'!A1" display="'Fiche 1.4.1-1.4.4'!A1"/>
    <hyperlink ref="B36" location="'IND 1.4.1-1.4.4'!A7" display="'IND 1.4.1-1.4.4'!A7"/>
    <hyperlink ref="B41" location="'Fiche 1.5.0'!A1" display="'Fiche 1.5.0'!A1"/>
    <hyperlink ref="B42" location="'IND 1.5.0'!A1" display="'IND 1.5.0'!A1"/>
    <hyperlink ref="B44" location="'Fiche 1.5.1'!A1" display="'Fiche 1.5.1'!A1"/>
    <hyperlink ref="B45" location="'IND 1.5.1'!A1" display="'IND 1.5.1'!A1"/>
    <hyperlink ref="B47" location="'Fiche 1.5.2'!A1" display="'Fiche 1.5.2'!A1"/>
    <hyperlink ref="B48" location="'IND 1.5.2'!A1" display="'IND 1.5.2'!A1"/>
    <hyperlink ref="B50" location="'Fiche 1.5.3'!A1" display="'Fiche 1.5.3'!A1"/>
    <hyperlink ref="B51" location="'IND 1.5.3'!A1" display="'IND 1.5.3'!A1"/>
    <hyperlink ref="B53" location="'Fiche 1.5.4-1.5.7'!A1" display="'Fiche 1.5.4-1.5.7'!A1"/>
    <hyperlink ref="B56" location="'IND 1.5.6'!A1" display="IND 1.5.6"/>
    <hyperlink ref="B59" location="'Fiche 1.6.1-1.6.2'!A1" display="'Fiche 1.6.1-1.6.2'!A1"/>
    <hyperlink ref="B60" location="'IND 1.6.1'!A1" display="'IND 1.6.1'!A1"/>
    <hyperlink ref="B61" location="'IND 1.6.2'!A1" display="'IND 1.6.2'!A1"/>
    <hyperlink ref="B63" location="'IND 1.7.1'!A1" display="'IND 1.7.1'!A1"/>
    <hyperlink ref="B69" location="'IND 2.1.1'!A1" display="'IND 2.1.1'!A1"/>
    <hyperlink ref="B70" location="'IND 2.1.2'!A1" display="'IND 2.1.2'!A1"/>
    <hyperlink ref="B71" location="'IND 2.1.3'!A1" display="'IND 2.1.3'!A1"/>
    <hyperlink ref="B72" location="'IND 2.1.4-2.1.6'!A4" display="'IND 2.1.4-2.1.6'!A4"/>
    <hyperlink ref="B75" location="'IND 2.1.7'!A1" display="'IND 2.1.7'!A1"/>
    <hyperlink ref="B77" location="'Fiche 2.2.1-2.2.7'!A1" display="'Fiche 2.2.1-2.2.7'!A1"/>
    <hyperlink ref="B78" location="'IND 2.2.1-2.2.4'!A6" display="'IND 2.2.1-2.2.4'!A6"/>
    <hyperlink ref="B82" location="'IND 2.2.5'!A1" display="'IND 2.2.5'!A1"/>
    <hyperlink ref="B86" location="'IND 2.3.1'!A1" display="'IND 2.3.1'!A1"/>
    <hyperlink ref="B90" location="'Fiche 3.1.1-3.4.3'!A1" display="'Fiche 3.1.1-3.4.3'!A1"/>
    <hyperlink ref="B91" location="'IND 3.1.1-3.4.3'!A3" display="'IND 3.1.1-3.4.3'!A3"/>
    <hyperlink ref="B97" location="'IND 3.4.4'!A1" display="IND 3.4.4"/>
    <hyperlink ref="B68" location="'IND 2.1.0'!A1" display="IND 2.1.0"/>
    <hyperlink ref="B102" location="'IND 4.1.1-4.1.2'!A4" display="'IND 4.1.1-4.1.2'!A4"/>
    <hyperlink ref="B104" location="'IND 4.1.3'!A1" display="IND 4.1.3"/>
    <hyperlink ref="B106" location="'Fiche 4.1.4-4.1.6'!A1" display="'Fiche 4.1.4-4.1.6'!A1"/>
    <hyperlink ref="B107" location="'IND 4.1.4-4.1.7'!A1" display="'IND 4.1.4-4.1.7'!A1"/>
    <hyperlink ref="B109" location="'IND 4.2.1'!A1" display="IND 4.2.1"/>
    <hyperlink ref="B110" location="'IND 4.2.2'!A1" display="IND 4.2.2"/>
    <hyperlink ref="B111" location="'IND 4.2.3'!A1" display="IND 4.2.3"/>
    <hyperlink ref="B112" location="'IND 4.2.4'!A1" display="IND 4.2.4"/>
    <hyperlink ref="B114" location="'IND 4.3.1'!A1" display="IND 4.3.1"/>
    <hyperlink ref="B118" location="'Fiche 5.1.1-5.1.4'!A1" display="Fiche 5.1.1-5.1.4"/>
    <hyperlink ref="B119" location="'IND 5.1.1'!A4" display="'IND 5.1.1'!A4"/>
    <hyperlink ref="B122" location="'IND 5.1.2'!A4" display="'IND 5.1.2'!A4"/>
    <hyperlink ref="B125" location="'IND 5.1.3'!A1" display="IND 5.1.3"/>
    <hyperlink ref="B127" location="'IND 5.1.4'!A1" display="IND 5.1.4"/>
    <hyperlink ref="B131" location="'IND 6.1.1-6.1.3'!A3" display="'IND 6.1.1-6.1.3'!A3"/>
    <hyperlink ref="B136" location="'IND 6.1.4'!A1" display="IND 6.1.4"/>
    <hyperlink ref="B138" location="'Fiche 7.1.1-7.1.4'!A1" display="Fiche 7.1.1-7.1.4"/>
    <hyperlink ref="B67" location="'Fiche 2.1.0'!A1" display="Fiche 2.1.0"/>
    <hyperlink ref="B135" location="'Fiche 6.1.4'!A1" display="Fiche 6.1.4"/>
    <hyperlink ref="B37" location="'IND 1.4.1-1.4.4'!A36" display="'IND 1.4.1-1.4.4'!A36"/>
    <hyperlink ref="B38" location="'IND 1.4.1-1.4.4'!A48" display="'IND 1.4.1-1.4.4'!A48"/>
    <hyperlink ref="B39" location="'IND 1.4.1-1.4.4'!A57" display="'IND 1.4.1-1.4.4'!A57"/>
    <hyperlink ref="B57" location="'IND 1.5.7'!A1" display="'IND 1.5.7'!A1"/>
    <hyperlink ref="B73" location="'IND 2.1.4-2.1.6'!A16" display="'IND 2.1.4-2.1.6'!A16"/>
    <hyperlink ref="B74" location="'IND 2.1.4-2.1.6'!A28" display="'IND 2.1.4-2.1.6'!A28"/>
    <hyperlink ref="B79" location="'IND 2.2.1-2.2.4'!A29" display="'IND 2.2.1-2.2.4'!A29"/>
    <hyperlink ref="B80" location="'IND 2.2.1-2.2.4'!A43" display="'IND 2.2.1-2.2.4'!A43"/>
    <hyperlink ref="B81" location="'IND 2.2.1-2.2.4'!A77" display="'IND 2.2.1-2.2.4'!A77"/>
    <hyperlink ref="B83" location="'IND 2.2.6'!A1" display="'IND 2.2.6'!A1"/>
    <hyperlink ref="B92" location="'IND 3.1.1-3.4.3'!A107" display="'IND 3.1.1-3.4.3'!A107"/>
    <hyperlink ref="B93" location="'IND 3.1.1-3.4.3'!A123" display="'IND 3.1.1-3.4.3'!A123"/>
    <hyperlink ref="B94" location="'IND 3.1.1-3.4.3'!A136" display="'IND 3.1.1-3.4.3'!A136"/>
    <hyperlink ref="B95" location="'IND 3.1.1-3.4.3'!A148" display="'IND 3.1.1-3.4.3'!A148"/>
    <hyperlink ref="B98" location="'IND 3.4.5'!A1" display="IND 3.4.5"/>
    <hyperlink ref="B103" location="'IND 4.1.1-4.1.2'!A20" display="'IND 4.1.1-4.1.2'!A20"/>
    <hyperlink ref="B113" location="'IND 4.2.5'!A1" display="IND 4.2.5"/>
    <hyperlink ref="B120" location="'IND 5.1.1'!A17" display="'IND 5.1.1'!A17"/>
    <hyperlink ref="B123" location="'IND 5.1.2'!A28" display="'IND 5.1.2'!A28"/>
    <hyperlink ref="B132" location="'IND 6.1.1-6.1.3'!A32" display="'IND 6.1.1-6.1.3'!A32"/>
    <hyperlink ref="B133" location="'IND 6.1.1-6.1.3'!A52" display="'IND 6.1.1-6.1.3'!A52"/>
    <hyperlink ref="B139" location="'IND 7.1.1-7.1.3'!A7" display="'IND 7.1.1-7.1.3'!A7"/>
    <hyperlink ref="B143" location="'IND 7.1.4'!A1" display="IND 7.1.4"/>
    <hyperlink ref="B140" location="'IND 7.1.1-7.1.3'!A16" display="'IND 7.1.1-7.1.3'!A16"/>
    <hyperlink ref="B141" location="'IND 7.1.1-7.1.3'!A27" display="'IND 7.1.1-7.1.3'!A27"/>
    <hyperlink ref="B55" location="'IND 1.5.4-1.5.5'!A21" display="'IND 1.5.4-1.5.5'!A21"/>
    <hyperlink ref="B54" location="'IND 1.5.4-1.5.5'!A7" display="'IND 1.5.4-1.5.5'!A7"/>
    <hyperlink ref="B84" location="'IND 2.2.7'!A1" display="IND 2.2.7"/>
    <hyperlink ref="B145" location="'IND 8.1.0'!A1" display="'IND 8.1.0'!A1"/>
  </hyperlinks>
  <printOptions horizontalCentered="1"/>
  <pageMargins left="0.59055118110236227" right="0.59055118110236227" top="0.59055118110236227" bottom="0.59055118110236227" header="0.51181102362204722" footer="0.27559055118110237"/>
  <pageSetup paperSize="9" scale="37" firstPageNumber="0" orientation="portrait" r:id="rId1"/>
  <headerFooter alignWithMargins="0">
    <oddFooter>&amp;LRSU 2020 - Présentation au CTP&amp;R&amp;P/&amp;N
&amp;A</oddFooter>
  </headerFooter>
  <rowBreaks count="1" manualBreakCount="1">
    <brk id="87" max="1" man="1"/>
  </rowBreaks>
</worksheet>
</file>

<file path=xl/worksheets/sheet12.xml><?xml version="1.0" encoding="utf-8"?>
<worksheet xmlns="http://schemas.openxmlformats.org/spreadsheetml/2006/main" xmlns:r="http://schemas.openxmlformats.org/officeDocument/2006/relationships">
  <sheetPr codeName="Feuil4">
    <pageSetUpPr fitToPage="1"/>
  </sheetPr>
  <dimension ref="A1:IV33"/>
  <sheetViews>
    <sheetView showGridLines="0" zoomScaleNormal="100" workbookViewId="0"/>
  </sheetViews>
  <sheetFormatPr baseColWidth="10" defaultColWidth="10.85546875" defaultRowHeight="12.75" customHeight="1"/>
  <cols>
    <col min="1" max="1" width="25.7109375" customWidth="1"/>
    <col min="2" max="2" width="19.85546875" customWidth="1"/>
    <col min="3" max="3" width="16.140625" customWidth="1"/>
    <col min="4" max="4" width="17.7109375" customWidth="1"/>
    <col min="5" max="5" width="17" customWidth="1"/>
    <col min="6" max="6" width="11.85546875" customWidth="1"/>
    <col min="7" max="7" width="22.42578125" customWidth="1"/>
    <col min="8" max="11" width="11.42578125" customWidth="1"/>
  </cols>
  <sheetData>
    <row r="1" spans="1:256" ht="17.100000000000001" customHeight="1">
      <c r="A1" s="1"/>
      <c r="B1" s="1"/>
      <c r="C1" s="2245" t="s">
        <v>958</v>
      </c>
      <c r="D1" s="2245"/>
      <c r="E1" s="1"/>
      <c r="F1" s="1"/>
    </row>
    <row r="3" spans="1:256" s="1093" customFormat="1" ht="27.75" customHeight="1" thickBot="1">
      <c r="A3" s="2246" t="s">
        <v>2333</v>
      </c>
      <c r="B3" s="2246"/>
      <c r="C3" s="2246"/>
      <c r="D3" s="2246"/>
      <c r="E3" s="2246"/>
      <c r="F3" s="2246"/>
      <c r="G3"/>
      <c r="H3"/>
      <c r="I3"/>
      <c r="J3"/>
      <c r="K3"/>
    </row>
    <row r="5" spans="1:256" s="1093" customFormat="1" ht="12.75" customHeight="1">
      <c r="A5" s="2242" t="s">
        <v>1535</v>
      </c>
      <c r="B5" s="2242"/>
      <c r="C5" s="2242"/>
      <c r="D5" s="2242"/>
      <c r="E5" s="2242"/>
      <c r="F5" s="2242"/>
      <c r="G5"/>
      <c r="H5"/>
      <c r="I5"/>
      <c r="J5"/>
      <c r="K5"/>
    </row>
    <row r="6" spans="1:256" s="1098" customFormat="1" ht="12.75" customHeight="1">
      <c r="A6" s="2244" t="s">
        <v>1536</v>
      </c>
      <c r="B6" s="2244"/>
      <c r="C6" s="2244"/>
      <c r="D6" s="2244"/>
      <c r="E6" s="2244"/>
      <c r="F6" s="2244"/>
      <c r="G6"/>
      <c r="H6"/>
      <c r="I6"/>
      <c r="J6"/>
      <c r="K6"/>
      <c r="L6" s="1097"/>
      <c r="M6" s="1097"/>
      <c r="N6" s="1097"/>
      <c r="O6" s="1097"/>
      <c r="P6" s="1097"/>
      <c r="Q6" s="1097"/>
      <c r="R6" s="1097"/>
      <c r="S6" s="1097"/>
      <c r="T6" s="1097"/>
      <c r="U6" s="1097"/>
      <c r="V6" s="1097"/>
      <c r="W6" s="1097"/>
      <c r="X6" s="1097"/>
      <c r="Y6" s="1097"/>
      <c r="Z6" s="1097"/>
      <c r="AA6" s="1097"/>
      <c r="AB6" s="1097"/>
      <c r="AC6" s="1097"/>
      <c r="AD6" s="1097"/>
      <c r="AE6" s="1097"/>
      <c r="AF6" s="1097"/>
      <c r="AG6" s="1097"/>
      <c r="AH6" s="1097"/>
      <c r="AI6" s="1097"/>
      <c r="AJ6" s="1097"/>
      <c r="AK6" s="1097"/>
      <c r="AL6" s="1097"/>
      <c r="AM6" s="1097"/>
      <c r="AN6" s="1097"/>
      <c r="AO6" s="1097"/>
      <c r="AP6" s="1097"/>
      <c r="AQ6" s="1097"/>
      <c r="AR6" s="1097"/>
      <c r="AS6" s="1097"/>
      <c r="AT6" s="1097"/>
      <c r="AU6" s="1097"/>
      <c r="AV6" s="1097"/>
      <c r="AW6" s="1097"/>
      <c r="AX6" s="1097"/>
      <c r="AY6" s="1097"/>
      <c r="AZ6" s="1097"/>
      <c r="BA6" s="1097"/>
      <c r="BB6" s="1097"/>
      <c r="BC6" s="1097"/>
      <c r="BD6" s="1097"/>
      <c r="BE6" s="1097"/>
      <c r="BF6" s="1097"/>
      <c r="BG6" s="1097"/>
      <c r="BH6" s="1097"/>
      <c r="BI6" s="1097"/>
      <c r="BJ6" s="1097"/>
      <c r="BK6" s="1097"/>
      <c r="BL6" s="1097"/>
      <c r="BM6" s="1097"/>
      <c r="BN6" s="1097"/>
      <c r="BO6" s="1097"/>
      <c r="BP6" s="1097"/>
      <c r="BQ6" s="1097"/>
      <c r="BR6" s="1097"/>
      <c r="BS6" s="1097"/>
      <c r="BT6" s="1097"/>
      <c r="BU6" s="1097"/>
      <c r="BV6" s="1097"/>
      <c r="BW6" s="1097"/>
      <c r="BX6" s="1097"/>
      <c r="BY6" s="1097"/>
      <c r="BZ6" s="1097"/>
      <c r="CA6" s="1097"/>
      <c r="CB6" s="1097"/>
      <c r="CC6" s="1097"/>
      <c r="CD6" s="1097"/>
      <c r="CE6" s="1097"/>
      <c r="CF6" s="1097"/>
      <c r="CG6" s="1097"/>
      <c r="CH6" s="1097"/>
      <c r="CI6" s="1097"/>
      <c r="CJ6" s="1097"/>
      <c r="CK6" s="1097"/>
      <c r="CL6" s="1097"/>
      <c r="CM6" s="1097"/>
      <c r="CN6" s="1097"/>
      <c r="CO6" s="1097"/>
      <c r="CP6" s="1097"/>
      <c r="CQ6" s="1097"/>
      <c r="CR6" s="1097"/>
      <c r="CS6" s="1097"/>
      <c r="CT6" s="1097"/>
      <c r="CU6" s="1097"/>
      <c r="CV6" s="1097"/>
      <c r="CW6" s="1097"/>
      <c r="CX6" s="1097"/>
      <c r="CY6" s="1097"/>
      <c r="CZ6" s="1097"/>
      <c r="DA6" s="1097"/>
      <c r="DB6" s="1097"/>
      <c r="DC6" s="1097"/>
      <c r="DD6" s="1097"/>
      <c r="DE6" s="1097"/>
      <c r="DF6" s="1097"/>
      <c r="DG6" s="1097"/>
      <c r="DH6" s="1097"/>
      <c r="DI6" s="1097"/>
      <c r="DJ6" s="1097"/>
      <c r="DK6" s="1097"/>
      <c r="DL6" s="1097"/>
      <c r="DM6" s="1097"/>
      <c r="DN6" s="1097"/>
      <c r="DO6" s="1097"/>
      <c r="DP6" s="1097"/>
      <c r="DQ6" s="1097"/>
      <c r="DR6" s="1097"/>
      <c r="DS6" s="1097"/>
      <c r="DT6" s="1097"/>
      <c r="DU6" s="1097"/>
      <c r="DV6" s="1097"/>
      <c r="DW6" s="1097"/>
      <c r="DX6" s="1097"/>
      <c r="DY6" s="1097"/>
      <c r="DZ6" s="1097"/>
      <c r="EA6" s="1097"/>
      <c r="EB6" s="1097"/>
      <c r="EC6" s="1097"/>
      <c r="ED6" s="1097"/>
      <c r="EE6" s="1097"/>
      <c r="EF6" s="1097"/>
      <c r="EG6" s="1097"/>
      <c r="EH6" s="1097"/>
      <c r="EI6" s="1097"/>
      <c r="EJ6" s="1097"/>
      <c r="EK6" s="1097"/>
      <c r="EL6" s="1097"/>
      <c r="EM6" s="1097"/>
      <c r="EN6" s="1097"/>
      <c r="EO6" s="1097"/>
      <c r="EP6" s="1097"/>
      <c r="EQ6" s="1097"/>
      <c r="ER6" s="1097"/>
      <c r="ES6" s="1097"/>
      <c r="ET6" s="1097"/>
      <c r="EU6" s="1097"/>
      <c r="EV6" s="1097"/>
      <c r="EW6" s="1097"/>
      <c r="EX6" s="1097"/>
      <c r="EY6" s="1097"/>
      <c r="EZ6" s="1097"/>
      <c r="FA6" s="1097"/>
      <c r="FB6" s="1097"/>
      <c r="FC6" s="1097"/>
      <c r="FD6" s="1097"/>
      <c r="FE6" s="1097"/>
      <c r="FF6" s="1097"/>
      <c r="FG6" s="1097"/>
      <c r="FH6" s="1097"/>
      <c r="FI6" s="1097"/>
      <c r="FJ6" s="1097"/>
      <c r="FK6" s="1097"/>
      <c r="FL6" s="1097"/>
      <c r="FM6" s="1097"/>
      <c r="FN6" s="1097"/>
      <c r="FO6" s="1097"/>
      <c r="FP6" s="1097"/>
      <c r="FQ6" s="1097"/>
      <c r="FR6" s="1097"/>
      <c r="FS6" s="1097"/>
      <c r="FT6" s="1097"/>
      <c r="FU6" s="1097"/>
      <c r="FV6" s="1097"/>
      <c r="FW6" s="1097"/>
      <c r="FX6" s="1097"/>
      <c r="FY6" s="1097"/>
      <c r="FZ6" s="1097"/>
      <c r="GA6" s="1097"/>
      <c r="GB6" s="1097"/>
      <c r="GC6" s="1097"/>
      <c r="GD6" s="1097"/>
      <c r="GE6" s="1097"/>
      <c r="GF6" s="1097"/>
      <c r="GG6" s="1097"/>
      <c r="GH6" s="1097"/>
      <c r="GI6" s="1097"/>
      <c r="GJ6" s="1097"/>
      <c r="GK6" s="1097"/>
      <c r="GL6" s="1097"/>
      <c r="GM6" s="1097"/>
      <c r="GN6" s="1097"/>
      <c r="GO6" s="1097"/>
      <c r="GP6" s="1097"/>
      <c r="GQ6" s="1097"/>
      <c r="GR6" s="1097"/>
      <c r="GS6" s="1097"/>
      <c r="GT6" s="1097"/>
      <c r="GU6" s="1097"/>
      <c r="GV6" s="1097"/>
      <c r="GW6" s="1097"/>
      <c r="GX6" s="1097"/>
      <c r="GY6" s="1097"/>
      <c r="GZ6" s="1097"/>
      <c r="HA6" s="1097"/>
      <c r="HB6" s="1097"/>
      <c r="HC6" s="1097"/>
      <c r="HD6" s="1097"/>
      <c r="HE6" s="1097"/>
      <c r="HF6" s="1097"/>
      <c r="HG6" s="1097"/>
      <c r="HH6" s="1097"/>
      <c r="HI6" s="1097"/>
      <c r="HJ6" s="1097"/>
      <c r="HK6" s="1097"/>
      <c r="HL6" s="1097"/>
      <c r="HM6" s="1097"/>
      <c r="HN6" s="1097"/>
      <c r="HO6" s="1097"/>
      <c r="HP6" s="1097"/>
      <c r="HQ6" s="1097"/>
      <c r="HR6" s="1097"/>
      <c r="HS6" s="1097"/>
      <c r="HT6" s="1097"/>
      <c r="HU6" s="1097"/>
      <c r="HV6" s="1097"/>
      <c r="HW6" s="1097"/>
      <c r="HX6" s="1097"/>
      <c r="HY6" s="1097"/>
      <c r="HZ6" s="1097"/>
      <c r="IA6" s="1097"/>
      <c r="IB6" s="1097"/>
      <c r="IC6" s="1097"/>
      <c r="ID6" s="1097"/>
      <c r="IE6" s="1097"/>
      <c r="IF6" s="1097"/>
      <c r="IG6" s="1097"/>
      <c r="IH6" s="1097"/>
      <c r="II6" s="1097"/>
      <c r="IJ6" s="1097"/>
      <c r="IK6" s="1097"/>
      <c r="IL6" s="1097"/>
      <c r="IM6" s="1097"/>
      <c r="IN6" s="1097"/>
      <c r="IO6" s="1097"/>
      <c r="IP6" s="1097"/>
      <c r="IQ6" s="1097"/>
      <c r="IR6" s="1097"/>
      <c r="IS6" s="1097"/>
      <c r="IT6" s="1097"/>
      <c r="IU6" s="1097"/>
      <c r="IV6" s="1097"/>
    </row>
    <row r="9" spans="1:256" s="1093" customFormat="1" ht="12.75" customHeight="1">
      <c r="A9" s="2244" t="s">
        <v>959</v>
      </c>
      <c r="B9" s="2244"/>
      <c r="C9" s="2244"/>
      <c r="D9" s="2244"/>
      <c r="E9" s="2244"/>
      <c r="F9" s="2244"/>
      <c r="G9"/>
      <c r="H9"/>
      <c r="I9"/>
      <c r="J9"/>
      <c r="K9"/>
    </row>
    <row r="11" spans="1:256" s="1093" customFormat="1" ht="27.75" customHeight="1">
      <c r="A11" s="2239" t="s">
        <v>75</v>
      </c>
      <c r="B11" s="2239"/>
      <c r="C11" s="2239"/>
      <c r="D11" s="2239"/>
      <c r="E11" s="2239"/>
      <c r="F11" s="2239"/>
      <c r="G11"/>
      <c r="H11"/>
      <c r="I11"/>
      <c r="J11"/>
      <c r="K11"/>
    </row>
    <row r="13" spans="1:256" s="1096" customFormat="1" ht="12.75" customHeight="1">
      <c r="A13" s="2239" t="s">
        <v>76</v>
      </c>
      <c r="B13" s="2239"/>
      <c r="C13" s="2239"/>
      <c r="D13" s="2239"/>
      <c r="E13" s="2239"/>
      <c r="F13" s="2239"/>
      <c r="G13"/>
      <c r="H13"/>
      <c r="I13"/>
      <c r="J13"/>
      <c r="K13"/>
    </row>
    <row r="15" spans="1:256" s="1096" customFormat="1" ht="12.75" customHeight="1">
      <c r="A15" s="2239" t="s">
        <v>2586</v>
      </c>
      <c r="B15" s="2239"/>
      <c r="C15" s="2239"/>
      <c r="D15" s="2239"/>
      <c r="E15" s="2239"/>
      <c r="F15" s="2239"/>
      <c r="G15"/>
      <c r="H15"/>
      <c r="I15"/>
      <c r="J15"/>
      <c r="K15"/>
    </row>
    <row r="17" spans="1:256" s="1096" customFormat="1" ht="12.75" customHeight="1">
      <c r="A17" s="2243" t="s">
        <v>77</v>
      </c>
      <c r="B17" s="2243"/>
      <c r="C17" s="2243"/>
      <c r="D17" s="2243"/>
      <c r="E17" s="2243"/>
      <c r="F17" s="2243"/>
      <c r="G17"/>
      <c r="H17"/>
      <c r="I17"/>
      <c r="J17"/>
      <c r="K17"/>
    </row>
    <row r="20" spans="1:256" s="1099" customFormat="1" ht="12.75" customHeight="1">
      <c r="A20" s="2244" t="s">
        <v>960</v>
      </c>
      <c r="B20" s="2244"/>
      <c r="C20" s="2244"/>
      <c r="D20" s="2244"/>
      <c r="E20" s="2244"/>
      <c r="F20" s="2244"/>
      <c r="G20"/>
      <c r="H20"/>
      <c r="I20"/>
      <c r="J20"/>
      <c r="K20"/>
    </row>
    <row r="22" spans="1:256" s="1099" customFormat="1" ht="12.75" customHeight="1">
      <c r="A22" s="2240" t="s">
        <v>2155</v>
      </c>
      <c r="B22" s="2240"/>
      <c r="C22" s="2240"/>
      <c r="D22" s="2240"/>
      <c r="E22" s="2240"/>
      <c r="F22" s="2240"/>
      <c r="G22"/>
      <c r="H22"/>
      <c r="I22"/>
      <c r="J22"/>
      <c r="K22"/>
    </row>
    <row r="23" spans="1:256" s="1099" customFormat="1" ht="12.75" customHeight="1">
      <c r="A23" s="2241" t="s">
        <v>2156</v>
      </c>
      <c r="B23" s="2241"/>
      <c r="C23" s="2241"/>
      <c r="D23" s="2241"/>
      <c r="E23" s="2241"/>
      <c r="F23" s="2241"/>
      <c r="G23"/>
      <c r="H23"/>
      <c r="I23"/>
      <c r="J23"/>
      <c r="K23"/>
    </row>
    <row r="24" spans="1:256" s="1099" customFormat="1" ht="12.75" customHeight="1">
      <c r="A24" s="2241" t="s">
        <v>2157</v>
      </c>
      <c r="B24" s="2241"/>
      <c r="C24" s="2241"/>
      <c r="D24" s="2241"/>
      <c r="E24" s="2241"/>
      <c r="F24" s="2241"/>
      <c r="G24"/>
      <c r="H24"/>
      <c r="I24"/>
      <c r="J24"/>
      <c r="K24"/>
    </row>
    <row r="25" spans="1:256" s="1099" customFormat="1" ht="12.75" customHeight="1">
      <c r="A25" s="2241" t="s">
        <v>2158</v>
      </c>
      <c r="B25" s="2241"/>
      <c r="C25" s="2241"/>
      <c r="D25" s="2241"/>
      <c r="E25" s="2241"/>
      <c r="F25" s="2241"/>
      <c r="G25"/>
      <c r="H25"/>
      <c r="I25"/>
      <c r="J25"/>
      <c r="K25"/>
    </row>
    <row r="27" spans="1:256" s="1099" customFormat="1" ht="12.75" customHeight="1">
      <c r="A27" s="2239" t="s">
        <v>2159</v>
      </c>
      <c r="B27" s="2239"/>
      <c r="C27" s="2239"/>
      <c r="D27" s="2239"/>
      <c r="E27" s="2239"/>
      <c r="F27" s="2239"/>
      <c r="G27"/>
      <c r="H27"/>
      <c r="I27"/>
      <c r="J27"/>
      <c r="K27"/>
    </row>
    <row r="29" spans="1:256" s="1098" customFormat="1" ht="12.75" customHeight="1">
      <c r="A29" s="2239" t="s">
        <v>2160</v>
      </c>
      <c r="B29" s="2239"/>
      <c r="C29" s="2239"/>
      <c r="D29" s="2239"/>
      <c r="E29" s="2239"/>
      <c r="F29" s="2239"/>
      <c r="G29"/>
      <c r="H29"/>
      <c r="I29"/>
      <c r="J29"/>
      <c r="K29"/>
      <c r="L29" s="1097"/>
      <c r="M29" s="1097"/>
      <c r="N29" s="1097"/>
      <c r="O29" s="1097"/>
      <c r="P29" s="1097"/>
      <c r="Q29" s="1097"/>
      <c r="R29" s="1097"/>
      <c r="S29" s="1097"/>
      <c r="T29" s="1097"/>
      <c r="U29" s="1097"/>
      <c r="V29" s="1097"/>
      <c r="W29" s="1097"/>
      <c r="X29" s="1097"/>
      <c r="Y29" s="1097"/>
      <c r="Z29" s="1097"/>
      <c r="AA29" s="1097"/>
      <c r="AB29" s="1097"/>
      <c r="AC29" s="1097"/>
      <c r="AD29" s="1097"/>
      <c r="AE29" s="1097"/>
      <c r="AF29" s="1097"/>
      <c r="AG29" s="1097"/>
      <c r="AH29" s="1097"/>
      <c r="AI29" s="1097"/>
      <c r="AJ29" s="1097"/>
      <c r="AK29" s="1097"/>
      <c r="AL29" s="1097"/>
      <c r="AM29" s="1097"/>
      <c r="AN29" s="1097"/>
      <c r="AO29" s="1097"/>
      <c r="AP29" s="1097"/>
      <c r="AQ29" s="1097"/>
      <c r="AR29" s="1097"/>
      <c r="AS29" s="1097"/>
      <c r="AT29" s="1097"/>
      <c r="AU29" s="1097"/>
      <c r="AV29" s="1097"/>
      <c r="AW29" s="1097"/>
      <c r="AX29" s="1097"/>
      <c r="AY29" s="1097"/>
      <c r="AZ29" s="1097"/>
      <c r="BA29" s="1097"/>
      <c r="BB29" s="1097"/>
      <c r="BC29" s="1097"/>
      <c r="BD29" s="1097"/>
      <c r="BE29" s="1097"/>
      <c r="BF29" s="1097"/>
      <c r="BG29" s="1097"/>
      <c r="BH29" s="1097"/>
      <c r="BI29" s="1097"/>
      <c r="BJ29" s="1097"/>
      <c r="BK29" s="1097"/>
      <c r="BL29" s="1097"/>
      <c r="BM29" s="1097"/>
      <c r="BN29" s="1097"/>
      <c r="BO29" s="1097"/>
      <c r="BP29" s="1097"/>
      <c r="BQ29" s="1097"/>
      <c r="BR29" s="1097"/>
      <c r="BS29" s="1097"/>
      <c r="BT29" s="1097"/>
      <c r="BU29" s="1097"/>
      <c r="BV29" s="1097"/>
      <c r="BW29" s="1097"/>
      <c r="BX29" s="1097"/>
      <c r="BY29" s="1097"/>
      <c r="BZ29" s="1097"/>
      <c r="CA29" s="1097"/>
      <c r="CB29" s="1097"/>
      <c r="CC29" s="1097"/>
      <c r="CD29" s="1097"/>
      <c r="CE29" s="1097"/>
      <c r="CF29" s="1097"/>
      <c r="CG29" s="1097"/>
      <c r="CH29" s="1097"/>
      <c r="CI29" s="1097"/>
      <c r="CJ29" s="1097"/>
      <c r="CK29" s="1097"/>
      <c r="CL29" s="1097"/>
      <c r="CM29" s="1097"/>
      <c r="CN29" s="1097"/>
      <c r="CO29" s="1097"/>
      <c r="CP29" s="1097"/>
      <c r="CQ29" s="1097"/>
      <c r="CR29" s="1097"/>
      <c r="CS29" s="1097"/>
      <c r="CT29" s="1097"/>
      <c r="CU29" s="1097"/>
      <c r="CV29" s="1097"/>
      <c r="CW29" s="1097"/>
      <c r="CX29" s="1097"/>
      <c r="CY29" s="1097"/>
      <c r="CZ29" s="1097"/>
      <c r="DA29" s="1097"/>
      <c r="DB29" s="1097"/>
      <c r="DC29" s="1097"/>
      <c r="DD29" s="1097"/>
      <c r="DE29" s="1097"/>
      <c r="DF29" s="1097"/>
      <c r="DG29" s="1097"/>
      <c r="DH29" s="1097"/>
      <c r="DI29" s="1097"/>
      <c r="DJ29" s="1097"/>
      <c r="DK29" s="1097"/>
      <c r="DL29" s="1097"/>
      <c r="DM29" s="1097"/>
      <c r="DN29" s="1097"/>
      <c r="DO29" s="1097"/>
      <c r="DP29" s="1097"/>
      <c r="DQ29" s="1097"/>
      <c r="DR29" s="1097"/>
      <c r="DS29" s="1097"/>
      <c r="DT29" s="1097"/>
      <c r="DU29" s="1097"/>
      <c r="DV29" s="1097"/>
      <c r="DW29" s="1097"/>
      <c r="DX29" s="1097"/>
      <c r="DY29" s="1097"/>
      <c r="DZ29" s="1097"/>
      <c r="EA29" s="1097"/>
      <c r="EB29" s="1097"/>
      <c r="EC29" s="1097"/>
      <c r="ED29" s="1097"/>
      <c r="EE29" s="1097"/>
      <c r="EF29" s="1097"/>
      <c r="EG29" s="1097"/>
      <c r="EH29" s="1097"/>
      <c r="EI29" s="1097"/>
      <c r="EJ29" s="1097"/>
      <c r="EK29" s="1097"/>
      <c r="EL29" s="1097"/>
      <c r="EM29" s="1097"/>
      <c r="EN29" s="1097"/>
      <c r="EO29" s="1097"/>
      <c r="EP29" s="1097"/>
      <c r="EQ29" s="1097"/>
      <c r="ER29" s="1097"/>
      <c r="ES29" s="1097"/>
      <c r="ET29" s="1097"/>
      <c r="EU29" s="1097"/>
      <c r="EV29" s="1097"/>
      <c r="EW29" s="1097"/>
      <c r="EX29" s="1097"/>
      <c r="EY29" s="1097"/>
      <c r="EZ29" s="1097"/>
      <c r="FA29" s="1097"/>
      <c r="FB29" s="1097"/>
      <c r="FC29" s="1097"/>
      <c r="FD29" s="1097"/>
      <c r="FE29" s="1097"/>
      <c r="FF29" s="1097"/>
      <c r="FG29" s="1097"/>
      <c r="FH29" s="1097"/>
      <c r="FI29" s="1097"/>
      <c r="FJ29" s="1097"/>
      <c r="FK29" s="1097"/>
      <c r="FL29" s="1097"/>
      <c r="FM29" s="1097"/>
      <c r="FN29" s="1097"/>
      <c r="FO29" s="1097"/>
      <c r="FP29" s="1097"/>
      <c r="FQ29" s="1097"/>
      <c r="FR29" s="1097"/>
      <c r="FS29" s="1097"/>
      <c r="FT29" s="1097"/>
      <c r="FU29" s="1097"/>
      <c r="FV29" s="1097"/>
      <c r="FW29" s="1097"/>
      <c r="FX29" s="1097"/>
      <c r="FY29" s="1097"/>
      <c r="FZ29" s="1097"/>
      <c r="GA29" s="1097"/>
      <c r="GB29" s="1097"/>
      <c r="GC29" s="1097"/>
      <c r="GD29" s="1097"/>
      <c r="GE29" s="1097"/>
      <c r="GF29" s="1097"/>
      <c r="GG29" s="1097"/>
      <c r="GH29" s="1097"/>
      <c r="GI29" s="1097"/>
      <c r="GJ29" s="1097"/>
      <c r="GK29" s="1097"/>
      <c r="GL29" s="1097"/>
      <c r="GM29" s="1097"/>
      <c r="GN29" s="1097"/>
      <c r="GO29" s="1097"/>
      <c r="GP29" s="1097"/>
      <c r="GQ29" s="1097"/>
      <c r="GR29" s="1097"/>
      <c r="GS29" s="1097"/>
      <c r="GT29" s="1097"/>
      <c r="GU29" s="1097"/>
      <c r="GV29" s="1097"/>
      <c r="GW29" s="1097"/>
      <c r="GX29" s="1097"/>
      <c r="GY29" s="1097"/>
      <c r="GZ29" s="1097"/>
      <c r="HA29" s="1097"/>
      <c r="HB29" s="1097"/>
      <c r="HC29" s="1097"/>
      <c r="HD29" s="1097"/>
      <c r="HE29" s="1097"/>
      <c r="HF29" s="1097"/>
      <c r="HG29" s="1097"/>
      <c r="HH29" s="1097"/>
      <c r="HI29" s="1097"/>
      <c r="HJ29" s="1097"/>
      <c r="HK29" s="1097"/>
      <c r="HL29" s="1097"/>
      <c r="HM29" s="1097"/>
      <c r="HN29" s="1097"/>
      <c r="HO29" s="1097"/>
      <c r="HP29" s="1097"/>
      <c r="HQ29" s="1097"/>
      <c r="HR29" s="1097"/>
      <c r="HS29" s="1097"/>
      <c r="HT29" s="1097"/>
      <c r="HU29" s="1097"/>
      <c r="HV29" s="1097"/>
      <c r="HW29" s="1097"/>
      <c r="HX29" s="1097"/>
      <c r="HY29" s="1097"/>
      <c r="HZ29" s="1097"/>
      <c r="IA29" s="1097"/>
      <c r="IB29" s="1097"/>
      <c r="IC29" s="1097"/>
      <c r="ID29" s="1097"/>
      <c r="IE29" s="1097"/>
      <c r="IF29" s="1097"/>
      <c r="IG29" s="1097"/>
      <c r="IH29" s="1097"/>
      <c r="II29" s="1097"/>
      <c r="IJ29" s="1097"/>
      <c r="IK29" s="1097"/>
      <c r="IL29" s="1097"/>
      <c r="IM29" s="1097"/>
      <c r="IN29" s="1097"/>
      <c r="IO29" s="1097"/>
      <c r="IP29" s="1097"/>
      <c r="IQ29" s="1097"/>
      <c r="IR29" s="1097"/>
      <c r="IS29" s="1097"/>
      <c r="IT29" s="1097"/>
      <c r="IU29" s="1097"/>
      <c r="IV29" s="1097"/>
    </row>
    <row r="30" spans="1:256" s="1098" customFormat="1" ht="38.25" customHeight="1">
      <c r="A30" s="2242" t="s">
        <v>1720</v>
      </c>
      <c r="B30" s="2242"/>
      <c r="C30" s="2242"/>
      <c r="D30" s="2242"/>
      <c r="E30" s="2242"/>
      <c r="F30" s="2242"/>
      <c r="G30"/>
      <c r="H30"/>
      <c r="I30"/>
      <c r="J30"/>
      <c r="K30"/>
      <c r="L30" s="1097"/>
      <c r="M30" s="1097"/>
      <c r="N30" s="1097"/>
      <c r="O30" s="1097"/>
      <c r="P30" s="1097"/>
      <c r="Q30" s="1097"/>
      <c r="R30" s="1097"/>
      <c r="S30" s="1097"/>
      <c r="T30" s="1097"/>
      <c r="U30" s="1097"/>
      <c r="V30" s="1097"/>
      <c r="W30" s="1097"/>
      <c r="X30" s="1097"/>
      <c r="Y30" s="1097"/>
      <c r="Z30" s="1097"/>
      <c r="AA30" s="1097"/>
      <c r="AB30" s="1097"/>
      <c r="AC30" s="1097"/>
      <c r="AD30" s="1097"/>
      <c r="AE30" s="1097"/>
      <c r="AF30" s="1097"/>
      <c r="AG30" s="1097"/>
      <c r="AH30" s="1097"/>
      <c r="AI30" s="1097"/>
      <c r="AJ30" s="1097"/>
      <c r="AK30" s="1097"/>
      <c r="AL30" s="1097"/>
      <c r="AM30" s="1097"/>
      <c r="AN30" s="1097"/>
      <c r="AO30" s="1097"/>
      <c r="AP30" s="1097"/>
      <c r="AQ30" s="1097"/>
      <c r="AR30" s="1097"/>
      <c r="AS30" s="1097"/>
      <c r="AT30" s="1097"/>
      <c r="AU30" s="1097"/>
      <c r="AV30" s="1097"/>
      <c r="AW30" s="1097"/>
      <c r="AX30" s="1097"/>
      <c r="AY30" s="1097"/>
      <c r="AZ30" s="1097"/>
      <c r="BA30" s="1097"/>
      <c r="BB30" s="1097"/>
      <c r="BC30" s="1097"/>
      <c r="BD30" s="1097"/>
      <c r="BE30" s="1097"/>
      <c r="BF30" s="1097"/>
      <c r="BG30" s="1097"/>
      <c r="BH30" s="1097"/>
      <c r="BI30" s="1097"/>
      <c r="BJ30" s="1097"/>
      <c r="BK30" s="1097"/>
      <c r="BL30" s="1097"/>
      <c r="BM30" s="1097"/>
      <c r="BN30" s="1097"/>
      <c r="BO30" s="1097"/>
      <c r="BP30" s="1097"/>
      <c r="BQ30" s="1097"/>
      <c r="BR30" s="1097"/>
      <c r="BS30" s="1097"/>
      <c r="BT30" s="1097"/>
      <c r="BU30" s="1097"/>
      <c r="BV30" s="1097"/>
      <c r="BW30" s="1097"/>
      <c r="BX30" s="1097"/>
      <c r="BY30" s="1097"/>
      <c r="BZ30" s="1097"/>
      <c r="CA30" s="1097"/>
      <c r="CB30" s="1097"/>
      <c r="CC30" s="1097"/>
      <c r="CD30" s="1097"/>
      <c r="CE30" s="1097"/>
      <c r="CF30" s="1097"/>
      <c r="CG30" s="1097"/>
      <c r="CH30" s="1097"/>
      <c r="CI30" s="1097"/>
      <c r="CJ30" s="1097"/>
      <c r="CK30" s="1097"/>
      <c r="CL30" s="1097"/>
      <c r="CM30" s="1097"/>
      <c r="CN30" s="1097"/>
      <c r="CO30" s="1097"/>
      <c r="CP30" s="1097"/>
      <c r="CQ30" s="1097"/>
      <c r="CR30" s="1097"/>
      <c r="CS30" s="1097"/>
      <c r="CT30" s="1097"/>
      <c r="CU30" s="1097"/>
      <c r="CV30" s="1097"/>
      <c r="CW30" s="1097"/>
      <c r="CX30" s="1097"/>
      <c r="CY30" s="1097"/>
      <c r="CZ30" s="1097"/>
      <c r="DA30" s="1097"/>
      <c r="DB30" s="1097"/>
      <c r="DC30" s="1097"/>
      <c r="DD30" s="1097"/>
      <c r="DE30" s="1097"/>
      <c r="DF30" s="1097"/>
      <c r="DG30" s="1097"/>
      <c r="DH30" s="1097"/>
      <c r="DI30" s="1097"/>
      <c r="DJ30" s="1097"/>
      <c r="DK30" s="1097"/>
      <c r="DL30" s="1097"/>
      <c r="DM30" s="1097"/>
      <c r="DN30" s="1097"/>
      <c r="DO30" s="1097"/>
      <c r="DP30" s="1097"/>
      <c r="DQ30" s="1097"/>
      <c r="DR30" s="1097"/>
      <c r="DS30" s="1097"/>
      <c r="DT30" s="1097"/>
      <c r="DU30" s="1097"/>
      <c r="DV30" s="1097"/>
      <c r="DW30" s="1097"/>
      <c r="DX30" s="1097"/>
      <c r="DY30" s="1097"/>
      <c r="DZ30" s="1097"/>
      <c r="EA30" s="1097"/>
      <c r="EB30" s="1097"/>
      <c r="EC30" s="1097"/>
      <c r="ED30" s="1097"/>
      <c r="EE30" s="1097"/>
      <c r="EF30" s="1097"/>
      <c r="EG30" s="1097"/>
      <c r="EH30" s="1097"/>
      <c r="EI30" s="1097"/>
      <c r="EJ30" s="1097"/>
      <c r="EK30" s="1097"/>
      <c r="EL30" s="1097"/>
      <c r="EM30" s="1097"/>
      <c r="EN30" s="1097"/>
      <c r="EO30" s="1097"/>
      <c r="EP30" s="1097"/>
      <c r="EQ30" s="1097"/>
      <c r="ER30" s="1097"/>
      <c r="ES30" s="1097"/>
      <c r="ET30" s="1097"/>
      <c r="EU30" s="1097"/>
      <c r="EV30" s="1097"/>
      <c r="EW30" s="1097"/>
      <c r="EX30" s="1097"/>
      <c r="EY30" s="1097"/>
      <c r="EZ30" s="1097"/>
      <c r="FA30" s="1097"/>
      <c r="FB30" s="1097"/>
      <c r="FC30" s="1097"/>
      <c r="FD30" s="1097"/>
      <c r="FE30" s="1097"/>
      <c r="FF30" s="1097"/>
      <c r="FG30" s="1097"/>
      <c r="FH30" s="1097"/>
      <c r="FI30" s="1097"/>
      <c r="FJ30" s="1097"/>
      <c r="FK30" s="1097"/>
      <c r="FL30" s="1097"/>
      <c r="FM30" s="1097"/>
      <c r="FN30" s="1097"/>
      <c r="FO30" s="1097"/>
      <c r="FP30" s="1097"/>
      <c r="FQ30" s="1097"/>
      <c r="FR30" s="1097"/>
      <c r="FS30" s="1097"/>
      <c r="FT30" s="1097"/>
      <c r="FU30" s="1097"/>
      <c r="FV30" s="1097"/>
      <c r="FW30" s="1097"/>
      <c r="FX30" s="1097"/>
      <c r="FY30" s="1097"/>
      <c r="FZ30" s="1097"/>
      <c r="GA30" s="1097"/>
      <c r="GB30" s="1097"/>
      <c r="GC30" s="1097"/>
      <c r="GD30" s="1097"/>
      <c r="GE30" s="1097"/>
      <c r="GF30" s="1097"/>
      <c r="GG30" s="1097"/>
      <c r="GH30" s="1097"/>
      <c r="GI30" s="1097"/>
      <c r="GJ30" s="1097"/>
      <c r="GK30" s="1097"/>
      <c r="GL30" s="1097"/>
      <c r="GM30" s="1097"/>
      <c r="GN30" s="1097"/>
      <c r="GO30" s="1097"/>
      <c r="GP30" s="1097"/>
      <c r="GQ30" s="1097"/>
      <c r="GR30" s="1097"/>
      <c r="GS30" s="1097"/>
      <c r="GT30" s="1097"/>
      <c r="GU30" s="1097"/>
      <c r="GV30" s="1097"/>
      <c r="GW30" s="1097"/>
      <c r="GX30" s="1097"/>
      <c r="GY30" s="1097"/>
      <c r="GZ30" s="1097"/>
      <c r="HA30" s="1097"/>
      <c r="HB30" s="1097"/>
      <c r="HC30" s="1097"/>
      <c r="HD30" s="1097"/>
      <c r="HE30" s="1097"/>
      <c r="HF30" s="1097"/>
      <c r="HG30" s="1097"/>
      <c r="HH30" s="1097"/>
      <c r="HI30" s="1097"/>
      <c r="HJ30" s="1097"/>
      <c r="HK30" s="1097"/>
      <c r="HL30" s="1097"/>
      <c r="HM30" s="1097"/>
      <c r="HN30" s="1097"/>
      <c r="HO30" s="1097"/>
      <c r="HP30" s="1097"/>
      <c r="HQ30" s="1097"/>
      <c r="HR30" s="1097"/>
      <c r="HS30" s="1097"/>
      <c r="HT30" s="1097"/>
      <c r="HU30" s="1097"/>
      <c r="HV30" s="1097"/>
      <c r="HW30" s="1097"/>
      <c r="HX30" s="1097"/>
      <c r="HY30" s="1097"/>
      <c r="HZ30" s="1097"/>
      <c r="IA30" s="1097"/>
      <c r="IB30" s="1097"/>
      <c r="IC30" s="1097"/>
      <c r="ID30" s="1097"/>
      <c r="IE30" s="1097"/>
      <c r="IF30" s="1097"/>
      <c r="IG30" s="1097"/>
      <c r="IH30" s="1097"/>
      <c r="II30" s="1097"/>
      <c r="IJ30" s="1097"/>
      <c r="IK30" s="1097"/>
      <c r="IL30" s="1097"/>
      <c r="IM30" s="1097"/>
      <c r="IN30" s="1097"/>
      <c r="IO30" s="1097"/>
      <c r="IP30" s="1097"/>
      <c r="IQ30" s="1097"/>
      <c r="IR30" s="1097"/>
      <c r="IS30" s="1097"/>
      <c r="IT30" s="1097"/>
      <c r="IU30" s="1097"/>
      <c r="IV30" s="1097"/>
    </row>
    <row r="31" spans="1:256" s="1101" customFormat="1">
      <c r="A31" s="1100" t="s">
        <v>1721</v>
      </c>
      <c r="B31" s="1100"/>
      <c r="C31" s="1100"/>
      <c r="D31" s="1100"/>
      <c r="E31" s="1100"/>
      <c r="F31" s="1100"/>
      <c r="G31"/>
      <c r="H31"/>
      <c r="I31"/>
      <c r="J31"/>
      <c r="K31"/>
      <c r="L31" s="1100"/>
      <c r="M31" s="1100"/>
      <c r="N31" s="1100"/>
      <c r="O31" s="1100"/>
      <c r="P31" s="1100"/>
      <c r="Q31" s="1100"/>
      <c r="R31" s="1100"/>
      <c r="S31" s="1100"/>
      <c r="T31" s="1100"/>
      <c r="U31" s="1100"/>
      <c r="V31" s="1100"/>
      <c r="W31" s="1100"/>
      <c r="X31" s="1100"/>
      <c r="Y31" s="1100"/>
      <c r="Z31" s="1100"/>
      <c r="AA31" s="1100"/>
      <c r="AB31" s="1100"/>
      <c r="AC31" s="1100"/>
      <c r="AD31" s="1100"/>
      <c r="AE31" s="1100"/>
      <c r="AF31" s="1100"/>
      <c r="AG31" s="1100"/>
      <c r="AH31" s="1100"/>
      <c r="AI31" s="1100"/>
      <c r="AJ31" s="1100"/>
      <c r="AK31" s="1100"/>
      <c r="AL31" s="1100"/>
      <c r="AM31" s="1100"/>
      <c r="AN31" s="1100"/>
      <c r="AO31" s="1100"/>
      <c r="AP31" s="1100"/>
      <c r="AQ31" s="1100"/>
      <c r="AR31" s="1100"/>
      <c r="AS31" s="1100"/>
      <c r="AT31" s="1100"/>
      <c r="AU31" s="1100"/>
      <c r="AV31" s="1100"/>
      <c r="AW31" s="1100"/>
      <c r="AX31" s="1100"/>
      <c r="AY31" s="1100"/>
      <c r="AZ31" s="1100"/>
      <c r="BA31" s="1100"/>
      <c r="BB31" s="1100"/>
      <c r="BC31" s="1100"/>
      <c r="BD31" s="1100"/>
      <c r="BE31" s="1100"/>
      <c r="BF31" s="1100"/>
      <c r="BG31" s="1100"/>
      <c r="BH31" s="1100"/>
      <c r="BI31" s="1100"/>
      <c r="BJ31" s="1100"/>
      <c r="BK31" s="1100"/>
      <c r="BL31" s="1100"/>
      <c r="BM31" s="1100"/>
      <c r="BN31" s="1100"/>
      <c r="BO31" s="1100"/>
      <c r="BP31" s="1100"/>
      <c r="BQ31" s="1100"/>
      <c r="BR31" s="1100"/>
      <c r="BS31" s="1100"/>
      <c r="BT31" s="1100"/>
      <c r="BU31" s="1100"/>
      <c r="BV31" s="1100"/>
      <c r="BW31" s="1100"/>
      <c r="BX31" s="1100"/>
      <c r="BY31" s="1100"/>
      <c r="BZ31" s="1100"/>
      <c r="CA31" s="1100"/>
      <c r="CB31" s="1100"/>
      <c r="CC31" s="1100"/>
      <c r="CD31" s="1100"/>
      <c r="CE31" s="1100"/>
      <c r="CF31" s="1100"/>
      <c r="CG31" s="1100"/>
      <c r="CH31" s="1100"/>
      <c r="CI31" s="1100"/>
      <c r="CJ31" s="1100"/>
      <c r="CK31" s="1100"/>
      <c r="CL31" s="1100"/>
      <c r="CM31" s="1100"/>
      <c r="CN31" s="1100"/>
      <c r="CO31" s="1100"/>
      <c r="CP31" s="1100"/>
      <c r="CQ31" s="1100"/>
      <c r="CR31" s="1100"/>
      <c r="CS31" s="1100"/>
      <c r="CT31" s="1100"/>
      <c r="CU31" s="1100"/>
      <c r="CV31" s="1100"/>
      <c r="CW31" s="1100"/>
      <c r="CX31" s="1100"/>
      <c r="CY31" s="1100"/>
      <c r="CZ31" s="1100"/>
      <c r="DA31" s="1100"/>
      <c r="DB31" s="1100"/>
      <c r="DC31" s="1100"/>
      <c r="DD31" s="1100"/>
      <c r="DE31" s="1100"/>
      <c r="DF31" s="1100"/>
      <c r="DG31" s="1100"/>
      <c r="DH31" s="1100"/>
      <c r="DI31" s="1100"/>
      <c r="DJ31" s="1100"/>
      <c r="DK31" s="1100"/>
      <c r="DL31" s="1100"/>
      <c r="DM31" s="1100"/>
      <c r="DN31" s="1100"/>
      <c r="DO31" s="1100"/>
      <c r="DP31" s="1100"/>
      <c r="DQ31" s="1100"/>
      <c r="DR31" s="1100"/>
      <c r="DS31" s="1100"/>
      <c r="DT31" s="1100"/>
      <c r="DU31" s="1100"/>
      <c r="DV31" s="1100"/>
      <c r="DW31" s="1100"/>
      <c r="DX31" s="1100"/>
      <c r="DY31" s="1100"/>
      <c r="DZ31" s="1100"/>
      <c r="EA31" s="1100"/>
      <c r="EB31" s="1100"/>
      <c r="EC31" s="1100"/>
      <c r="ED31" s="1100"/>
      <c r="EE31" s="1100"/>
      <c r="EF31" s="1100"/>
      <c r="EG31" s="1100"/>
      <c r="EH31" s="1100"/>
      <c r="EI31" s="1100"/>
      <c r="EJ31" s="1100"/>
      <c r="EK31" s="1100"/>
      <c r="EL31" s="1100"/>
      <c r="EM31" s="1100"/>
      <c r="EN31" s="1100"/>
      <c r="EO31" s="1100"/>
      <c r="EP31" s="1100"/>
      <c r="EQ31" s="1100"/>
      <c r="ER31" s="1100"/>
      <c r="ES31" s="1100"/>
      <c r="ET31" s="1100"/>
      <c r="EU31" s="1100"/>
      <c r="EV31" s="1100"/>
      <c r="EW31" s="1100"/>
      <c r="EX31" s="1100"/>
      <c r="EY31" s="1100"/>
      <c r="EZ31" s="1100"/>
      <c r="FA31" s="1100"/>
      <c r="FB31" s="1100"/>
      <c r="FC31" s="1100"/>
      <c r="FD31" s="1100"/>
      <c r="FE31" s="1100"/>
      <c r="FF31" s="1100"/>
      <c r="FG31" s="1100"/>
      <c r="FH31" s="1100"/>
      <c r="FI31" s="1100"/>
      <c r="FJ31" s="1100"/>
      <c r="FK31" s="1100"/>
      <c r="FL31" s="1100"/>
      <c r="FM31" s="1100"/>
      <c r="FN31" s="1100"/>
      <c r="FO31" s="1100"/>
      <c r="FP31" s="1100"/>
      <c r="FQ31" s="1100"/>
      <c r="FR31" s="1100"/>
      <c r="FS31" s="1100"/>
      <c r="FT31" s="1100"/>
      <c r="FU31" s="1100"/>
      <c r="FV31" s="1100"/>
      <c r="FW31" s="1100"/>
      <c r="FX31" s="1100"/>
      <c r="FY31" s="1100"/>
      <c r="FZ31" s="1100"/>
      <c r="GA31" s="1100"/>
      <c r="GB31" s="1100"/>
      <c r="GC31" s="1100"/>
      <c r="GD31" s="1100"/>
      <c r="GE31" s="1100"/>
      <c r="GF31" s="1100"/>
      <c r="GG31" s="1100"/>
      <c r="GH31" s="1100"/>
      <c r="GI31" s="1100"/>
      <c r="GJ31" s="1100"/>
      <c r="GK31" s="1100"/>
      <c r="GL31" s="1100"/>
      <c r="GM31" s="1100"/>
      <c r="GN31" s="1100"/>
      <c r="GO31" s="1100"/>
      <c r="GP31" s="1100"/>
      <c r="GQ31" s="1100"/>
      <c r="GR31" s="1100"/>
      <c r="GS31" s="1100"/>
      <c r="GT31" s="1100"/>
      <c r="GU31" s="1100"/>
      <c r="GV31" s="1100"/>
      <c r="GW31" s="1100"/>
      <c r="GX31" s="1100"/>
      <c r="GY31" s="1100"/>
      <c r="GZ31" s="1100"/>
      <c r="HA31" s="1100"/>
      <c r="HB31" s="1100"/>
      <c r="HC31" s="1100"/>
      <c r="HD31" s="1100"/>
      <c r="HE31" s="1100"/>
      <c r="HF31" s="1100"/>
      <c r="HG31" s="1100"/>
      <c r="HH31" s="1100"/>
      <c r="HI31" s="1100"/>
      <c r="HJ31" s="1100"/>
      <c r="HK31" s="1100"/>
      <c r="HL31" s="1100"/>
      <c r="HM31" s="1100"/>
      <c r="HN31" s="1100"/>
      <c r="HO31" s="1100"/>
      <c r="HP31" s="1100"/>
      <c r="HQ31" s="1100"/>
      <c r="HR31" s="1100"/>
      <c r="HS31" s="1100"/>
      <c r="HT31" s="1100"/>
      <c r="HU31" s="1100"/>
      <c r="HV31" s="1100"/>
      <c r="HW31" s="1100"/>
      <c r="HX31" s="1100"/>
      <c r="HY31" s="1100"/>
      <c r="HZ31" s="1100"/>
      <c r="IA31" s="1100"/>
      <c r="IB31" s="1100"/>
      <c r="IC31" s="1100"/>
      <c r="ID31" s="1100"/>
      <c r="IE31" s="1100"/>
      <c r="IF31" s="1100"/>
      <c r="IG31" s="1100"/>
      <c r="IH31" s="1100"/>
      <c r="II31" s="1100"/>
      <c r="IJ31" s="1100"/>
      <c r="IK31" s="1100"/>
      <c r="IL31" s="1100"/>
      <c r="IM31" s="1100"/>
      <c r="IN31" s="1100"/>
      <c r="IO31" s="1100"/>
      <c r="IP31" s="1100"/>
      <c r="IQ31" s="1100"/>
      <c r="IR31" s="1100"/>
      <c r="IS31" s="1100"/>
      <c r="IT31" s="1100"/>
      <c r="IU31" s="1100"/>
      <c r="IV31" s="1100"/>
    </row>
    <row r="33" spans="1:256" s="1098" customFormat="1" ht="13.15" customHeight="1">
      <c r="A33" s="2238" t="s">
        <v>1722</v>
      </c>
      <c r="B33" s="2239"/>
      <c r="C33" s="2239"/>
      <c r="D33" s="2239"/>
      <c r="E33" s="2239"/>
      <c r="F33" s="2239"/>
      <c r="G33"/>
      <c r="H33"/>
      <c r="I33"/>
      <c r="J33"/>
      <c r="K33"/>
      <c r="L33" s="1097"/>
      <c r="M33" s="1097"/>
      <c r="N33" s="1097"/>
      <c r="O33" s="1097"/>
      <c r="P33" s="1097"/>
      <c r="Q33" s="1097"/>
      <c r="R33" s="1097"/>
      <c r="S33" s="1097"/>
      <c r="T33" s="1097"/>
      <c r="U33" s="1097"/>
      <c r="V33" s="1097"/>
      <c r="W33" s="1097"/>
      <c r="X33" s="1097"/>
      <c r="Y33" s="1097"/>
      <c r="Z33" s="1097"/>
      <c r="AA33" s="1097"/>
      <c r="AB33" s="1097"/>
      <c r="AC33" s="1097"/>
      <c r="AD33" s="1097"/>
      <c r="AE33" s="1097"/>
      <c r="AF33" s="1097"/>
      <c r="AG33" s="1097"/>
      <c r="AH33" s="1097"/>
      <c r="AI33" s="1097"/>
      <c r="AJ33" s="1097"/>
      <c r="AK33" s="1097"/>
      <c r="AL33" s="1097"/>
      <c r="AM33" s="1097"/>
      <c r="AN33" s="1097"/>
      <c r="AO33" s="1097"/>
      <c r="AP33" s="1097"/>
      <c r="AQ33" s="1097"/>
      <c r="AR33" s="1097"/>
      <c r="AS33" s="1097"/>
      <c r="AT33" s="1097"/>
      <c r="AU33" s="1097"/>
      <c r="AV33" s="1097"/>
      <c r="AW33" s="1097"/>
      <c r="AX33" s="1097"/>
      <c r="AY33" s="1097"/>
      <c r="AZ33" s="1097"/>
      <c r="BA33" s="1097"/>
      <c r="BB33" s="1097"/>
      <c r="BC33" s="1097"/>
      <c r="BD33" s="1097"/>
      <c r="BE33" s="1097"/>
      <c r="BF33" s="1097"/>
      <c r="BG33" s="1097"/>
      <c r="BH33" s="1097"/>
      <c r="BI33" s="1097"/>
      <c r="BJ33" s="1097"/>
      <c r="BK33" s="1097"/>
      <c r="BL33" s="1097"/>
      <c r="BM33" s="1097"/>
      <c r="BN33" s="1097"/>
      <c r="BO33" s="1097"/>
      <c r="BP33" s="1097"/>
      <c r="BQ33" s="1097"/>
      <c r="BR33" s="1097"/>
      <c r="BS33" s="1097"/>
      <c r="BT33" s="1097"/>
      <c r="BU33" s="1097"/>
      <c r="BV33" s="1097"/>
      <c r="BW33" s="1097"/>
      <c r="BX33" s="1097"/>
      <c r="BY33" s="1097"/>
      <c r="BZ33" s="1097"/>
      <c r="CA33" s="1097"/>
      <c r="CB33" s="1097"/>
      <c r="CC33" s="1097"/>
      <c r="CD33" s="1097"/>
      <c r="CE33" s="1097"/>
      <c r="CF33" s="1097"/>
      <c r="CG33" s="1097"/>
      <c r="CH33" s="1097"/>
      <c r="CI33" s="1097"/>
      <c r="CJ33" s="1097"/>
      <c r="CK33" s="1097"/>
      <c r="CL33" s="1097"/>
      <c r="CM33" s="1097"/>
      <c r="CN33" s="1097"/>
      <c r="CO33" s="1097"/>
      <c r="CP33" s="1097"/>
      <c r="CQ33" s="1097"/>
      <c r="CR33" s="1097"/>
      <c r="CS33" s="1097"/>
      <c r="CT33" s="1097"/>
      <c r="CU33" s="1097"/>
      <c r="CV33" s="1097"/>
      <c r="CW33" s="1097"/>
      <c r="CX33" s="1097"/>
      <c r="CY33" s="1097"/>
      <c r="CZ33" s="1097"/>
      <c r="DA33" s="1097"/>
      <c r="DB33" s="1097"/>
      <c r="DC33" s="1097"/>
      <c r="DD33" s="1097"/>
      <c r="DE33" s="1097"/>
      <c r="DF33" s="1097"/>
      <c r="DG33" s="1097"/>
      <c r="DH33" s="1097"/>
      <c r="DI33" s="1097"/>
      <c r="DJ33" s="1097"/>
      <c r="DK33" s="1097"/>
      <c r="DL33" s="1097"/>
      <c r="DM33" s="1097"/>
      <c r="DN33" s="1097"/>
      <c r="DO33" s="1097"/>
      <c r="DP33" s="1097"/>
      <c r="DQ33" s="1097"/>
      <c r="DR33" s="1097"/>
      <c r="DS33" s="1097"/>
      <c r="DT33" s="1097"/>
      <c r="DU33" s="1097"/>
      <c r="DV33" s="1097"/>
      <c r="DW33" s="1097"/>
      <c r="DX33" s="1097"/>
      <c r="DY33" s="1097"/>
      <c r="DZ33" s="1097"/>
      <c r="EA33" s="1097"/>
      <c r="EB33" s="1097"/>
      <c r="EC33" s="1097"/>
      <c r="ED33" s="1097"/>
      <c r="EE33" s="1097"/>
      <c r="EF33" s="1097"/>
      <c r="EG33" s="1097"/>
      <c r="EH33" s="1097"/>
      <c r="EI33" s="1097"/>
      <c r="EJ33" s="1097"/>
      <c r="EK33" s="1097"/>
      <c r="EL33" s="1097"/>
      <c r="EM33" s="1097"/>
      <c r="EN33" s="1097"/>
      <c r="EO33" s="1097"/>
      <c r="EP33" s="1097"/>
      <c r="EQ33" s="1097"/>
      <c r="ER33" s="1097"/>
      <c r="ES33" s="1097"/>
      <c r="ET33" s="1097"/>
      <c r="EU33" s="1097"/>
      <c r="EV33" s="1097"/>
      <c r="EW33" s="1097"/>
      <c r="EX33" s="1097"/>
      <c r="EY33" s="1097"/>
      <c r="EZ33" s="1097"/>
      <c r="FA33" s="1097"/>
      <c r="FB33" s="1097"/>
      <c r="FC33" s="1097"/>
      <c r="FD33" s="1097"/>
      <c r="FE33" s="1097"/>
      <c r="FF33" s="1097"/>
      <c r="FG33" s="1097"/>
      <c r="FH33" s="1097"/>
      <c r="FI33" s="1097"/>
      <c r="FJ33" s="1097"/>
      <c r="FK33" s="1097"/>
      <c r="FL33" s="1097"/>
      <c r="FM33" s="1097"/>
      <c r="FN33" s="1097"/>
      <c r="FO33" s="1097"/>
      <c r="FP33" s="1097"/>
      <c r="FQ33" s="1097"/>
      <c r="FR33" s="1097"/>
      <c r="FS33" s="1097"/>
      <c r="FT33" s="1097"/>
      <c r="FU33" s="1097"/>
      <c r="FV33" s="1097"/>
      <c r="FW33" s="1097"/>
      <c r="FX33" s="1097"/>
      <c r="FY33" s="1097"/>
      <c r="FZ33" s="1097"/>
      <c r="GA33" s="1097"/>
      <c r="GB33" s="1097"/>
      <c r="GC33" s="1097"/>
      <c r="GD33" s="1097"/>
      <c r="GE33" s="1097"/>
      <c r="GF33" s="1097"/>
      <c r="GG33" s="1097"/>
      <c r="GH33" s="1097"/>
      <c r="GI33" s="1097"/>
      <c r="GJ33" s="1097"/>
      <c r="GK33" s="1097"/>
      <c r="GL33" s="1097"/>
      <c r="GM33" s="1097"/>
      <c r="GN33" s="1097"/>
      <c r="GO33" s="1097"/>
      <c r="GP33" s="1097"/>
      <c r="GQ33" s="1097"/>
      <c r="GR33" s="1097"/>
      <c r="GS33" s="1097"/>
      <c r="GT33" s="1097"/>
      <c r="GU33" s="1097"/>
      <c r="GV33" s="1097"/>
      <c r="GW33" s="1097"/>
      <c r="GX33" s="1097"/>
      <c r="GY33" s="1097"/>
      <c r="GZ33" s="1097"/>
      <c r="HA33" s="1097"/>
      <c r="HB33" s="1097"/>
      <c r="HC33" s="1097"/>
      <c r="HD33" s="1097"/>
      <c r="HE33" s="1097"/>
      <c r="HF33" s="1097"/>
      <c r="HG33" s="1097"/>
      <c r="HH33" s="1097"/>
      <c r="HI33" s="1097"/>
      <c r="HJ33" s="1097"/>
      <c r="HK33" s="1097"/>
      <c r="HL33" s="1097"/>
      <c r="HM33" s="1097"/>
      <c r="HN33" s="1097"/>
      <c r="HO33" s="1097"/>
      <c r="HP33" s="1097"/>
      <c r="HQ33" s="1097"/>
      <c r="HR33" s="1097"/>
      <c r="HS33" s="1097"/>
      <c r="HT33" s="1097"/>
      <c r="HU33" s="1097"/>
      <c r="HV33" s="1097"/>
      <c r="HW33" s="1097"/>
      <c r="HX33" s="1097"/>
      <c r="HY33" s="1097"/>
      <c r="HZ33" s="1097"/>
      <c r="IA33" s="1097"/>
      <c r="IB33" s="1097"/>
      <c r="IC33" s="1097"/>
      <c r="ID33" s="1097"/>
      <c r="IE33" s="1097"/>
      <c r="IF33" s="1097"/>
      <c r="IG33" s="1097"/>
      <c r="IH33" s="1097"/>
      <c r="II33" s="1097"/>
      <c r="IJ33" s="1097"/>
      <c r="IK33" s="1097"/>
      <c r="IL33" s="1097"/>
      <c r="IM33" s="1097"/>
      <c r="IN33" s="1097"/>
      <c r="IO33" s="1097"/>
      <c r="IP33" s="1097"/>
      <c r="IQ33" s="1097"/>
      <c r="IR33" s="1097"/>
      <c r="IS33" s="1097"/>
      <c r="IT33" s="1097"/>
      <c r="IU33" s="1097"/>
      <c r="IV33" s="1097"/>
    </row>
  </sheetData>
  <sheetProtection algorithmName="SHA-512" hashValue="Kk4Lpg3r82gy8Pfk4HsU45plHeOto1Lp2LlAc2+Bj3Mtu9ngU0ClfY9lXiozy4xKeqvGEDIf81zzpkPwgh1FtA==" saltValue="xnE73WHC+HP4oNLZnyrLWQ==" spinCount="100000" sheet="1" objects="1" scenarios="1"/>
  <mergeCells count="18">
    <mergeCell ref="A11:F11"/>
    <mergeCell ref="C1:D1"/>
    <mergeCell ref="A3:F3"/>
    <mergeCell ref="A5:F5"/>
    <mergeCell ref="A6:F6"/>
    <mergeCell ref="A9:F9"/>
    <mergeCell ref="A13:F13"/>
    <mergeCell ref="A15:F15"/>
    <mergeCell ref="A17:F17"/>
    <mergeCell ref="A20:F20"/>
    <mergeCell ref="A27:F27"/>
    <mergeCell ref="A33:F33"/>
    <mergeCell ref="A22:F22"/>
    <mergeCell ref="A23:F23"/>
    <mergeCell ref="A24:F24"/>
    <mergeCell ref="A25:F25"/>
    <mergeCell ref="A30:F30"/>
    <mergeCell ref="A29:F29"/>
  </mergeCell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85" firstPageNumber="0" orientation="portrait" r:id="rId1"/>
  <headerFooter alignWithMargins="0">
    <oddFooter>&amp;LRSU 2020 - Présentation au CTP&amp;R&amp;P/&amp;N
&amp;A</oddFooter>
  </headerFooter>
</worksheet>
</file>

<file path=xl/worksheets/sheet13.xml><?xml version="1.0" encoding="utf-8"?>
<worksheet xmlns="http://schemas.openxmlformats.org/spreadsheetml/2006/main" xmlns:r="http://schemas.openxmlformats.org/officeDocument/2006/relationships">
  <sheetPr codeName="Feuil5">
    <pageSetUpPr fitToPage="1"/>
  </sheetPr>
  <dimension ref="A1:L52"/>
  <sheetViews>
    <sheetView showGridLines="0" workbookViewId="0"/>
  </sheetViews>
  <sheetFormatPr baseColWidth="10" defaultColWidth="10.85546875" defaultRowHeight="12.75" customHeight="1"/>
  <cols>
    <col min="1" max="1" width="61.5703125" customWidth="1"/>
    <col min="2" max="9" width="12" customWidth="1"/>
  </cols>
  <sheetData>
    <row r="1" spans="1:12" ht="17.100000000000001" customHeight="1">
      <c r="A1" s="9"/>
      <c r="B1" s="21"/>
      <c r="C1" s="2245" t="s">
        <v>958</v>
      </c>
      <c r="D1" s="2245"/>
      <c r="E1" s="1"/>
      <c r="F1" s="1"/>
      <c r="G1" s="1"/>
      <c r="H1" s="1"/>
      <c r="I1" s="1"/>
      <c r="J1" s="1"/>
      <c r="K1" s="1"/>
    </row>
    <row r="2" spans="1:12" ht="13.5" thickBot="1">
      <c r="A2" s="9"/>
      <c r="B2" s="414"/>
      <c r="C2" s="414"/>
      <c r="D2" s="414"/>
      <c r="E2" s="414"/>
      <c r="F2" s="414"/>
      <c r="G2" s="414"/>
      <c r="H2" s="414"/>
      <c r="I2" s="414"/>
      <c r="J2" s="414"/>
      <c r="K2" s="414"/>
    </row>
    <row r="3" spans="1:12" ht="13.5" thickBot="1">
      <c r="A3" s="2248" t="s">
        <v>2334</v>
      </c>
      <c r="B3" s="2248"/>
      <c r="C3" s="2248"/>
      <c r="D3" s="2248"/>
      <c r="E3" s="2248"/>
      <c r="F3" s="2248"/>
      <c r="G3" s="2248"/>
      <c r="H3" s="2248"/>
      <c r="I3" s="2248"/>
      <c r="J3" s="2249"/>
      <c r="K3" s="2249"/>
    </row>
    <row r="4" spans="1:12" ht="12.75" customHeight="1">
      <c r="A4" s="9"/>
      <c r="B4" s="414"/>
      <c r="C4" s="414"/>
      <c r="D4" s="414"/>
      <c r="E4" s="414"/>
      <c r="F4" s="414"/>
      <c r="G4" s="414"/>
      <c r="H4" s="414"/>
      <c r="I4" s="414"/>
      <c r="J4" s="414"/>
      <c r="K4" s="414"/>
    </row>
    <row r="5" spans="1:12" ht="12.75" customHeight="1">
      <c r="A5" s="9"/>
      <c r="B5" s="414"/>
      <c r="C5" s="414"/>
      <c r="D5" s="414"/>
      <c r="E5" s="414"/>
      <c r="F5" s="414"/>
      <c r="G5" s="414"/>
      <c r="H5" s="414"/>
      <c r="I5" s="414"/>
      <c r="J5" s="414"/>
      <c r="K5" s="414"/>
    </row>
    <row r="6" spans="1:12" ht="12.75" customHeight="1">
      <c r="A6" s="2250" t="s">
        <v>2335</v>
      </c>
      <c r="B6" s="2250"/>
      <c r="C6" s="2250"/>
      <c r="D6" s="2250"/>
      <c r="E6" s="2250"/>
      <c r="F6" s="2250"/>
      <c r="G6" s="2250"/>
      <c r="H6" s="2250"/>
      <c r="I6" s="2250"/>
      <c r="J6" s="2251"/>
      <c r="K6" s="2251"/>
    </row>
    <row r="7" spans="1:12" ht="12.75" customHeight="1">
      <c r="A7" s="869"/>
      <c r="B7" s="869"/>
      <c r="C7" s="869"/>
      <c r="D7" s="869"/>
      <c r="E7" s="869"/>
      <c r="F7" s="869"/>
      <c r="G7" s="869"/>
      <c r="H7" s="869"/>
      <c r="I7" s="869"/>
      <c r="J7" s="870"/>
      <c r="K7" s="870"/>
    </row>
    <row r="8" spans="1:12" ht="12.75" customHeight="1">
      <c r="A8" s="9" t="s">
        <v>1465</v>
      </c>
      <c r="B8" s="51"/>
      <c r="C8" s="51"/>
      <c r="D8" s="51"/>
      <c r="E8" s="51"/>
      <c r="F8" s="51"/>
      <c r="G8" s="51"/>
      <c r="H8" s="51"/>
      <c r="I8" s="51"/>
      <c r="J8" s="414"/>
      <c r="K8" s="414"/>
    </row>
    <row r="9" spans="1:12" ht="34.5" customHeight="1">
      <c r="A9" s="2255" t="s">
        <v>961</v>
      </c>
      <c r="B9" s="2252" t="s">
        <v>962</v>
      </c>
      <c r="C9" s="2253"/>
      <c r="D9" s="2253"/>
      <c r="E9" s="2253"/>
      <c r="F9" s="2253"/>
      <c r="G9" s="2253"/>
      <c r="H9" s="2253"/>
      <c r="I9" s="2253"/>
      <c r="J9" s="2253"/>
      <c r="K9" s="2254"/>
    </row>
    <row r="10" spans="1:12" ht="18.75" customHeight="1">
      <c r="A10" s="2255"/>
      <c r="B10" s="2256" t="s">
        <v>703</v>
      </c>
      <c r="C10" s="2256"/>
      <c r="D10" s="2247" t="s">
        <v>704</v>
      </c>
      <c r="E10" s="2247"/>
      <c r="F10" s="2247" t="s">
        <v>1323</v>
      </c>
      <c r="G10" s="2247"/>
      <c r="H10" s="2247" t="s">
        <v>705</v>
      </c>
      <c r="I10" s="2247"/>
      <c r="J10" s="2247" t="s">
        <v>706</v>
      </c>
      <c r="K10" s="2247"/>
    </row>
    <row r="11" spans="1:12" ht="30.75" customHeight="1">
      <c r="A11" s="2255"/>
      <c r="B11" s="59" t="s">
        <v>707</v>
      </c>
      <c r="C11" s="59" t="s">
        <v>708</v>
      </c>
      <c r="D11" s="59" t="s">
        <v>707</v>
      </c>
      <c r="E11" s="59" t="s">
        <v>708</v>
      </c>
      <c r="F11" s="59" t="s">
        <v>707</v>
      </c>
      <c r="G11" s="59" t="s">
        <v>708</v>
      </c>
      <c r="H11" s="59" t="s">
        <v>707</v>
      </c>
      <c r="I11" s="59" t="s">
        <v>708</v>
      </c>
      <c r="J11" s="59" t="s">
        <v>707</v>
      </c>
      <c r="K11" s="59" t="s">
        <v>708</v>
      </c>
    </row>
    <row r="12" spans="1:12">
      <c r="A12" s="969" t="s">
        <v>709</v>
      </c>
    </row>
    <row r="13" spans="1:12">
      <c r="A13" s="62" t="s">
        <v>1295</v>
      </c>
      <c r="B13" s="564"/>
      <c r="C13" s="564"/>
      <c r="D13" s="564"/>
      <c r="E13" s="564"/>
      <c r="F13" s="564"/>
      <c r="G13" s="564"/>
      <c r="H13" s="564"/>
      <c r="I13" s="564"/>
      <c r="J13" s="564"/>
      <c r="K13" s="564"/>
      <c r="L13" s="1188" t="s">
        <v>1296</v>
      </c>
    </row>
    <row r="14" spans="1:12">
      <c r="A14" s="62" t="s">
        <v>1297</v>
      </c>
      <c r="B14" s="564">
        <v>1</v>
      </c>
      <c r="C14" s="564">
        <v>0</v>
      </c>
      <c r="D14" s="564">
        <v>0</v>
      </c>
      <c r="E14" s="564">
        <v>0</v>
      </c>
      <c r="F14" s="564">
        <v>1</v>
      </c>
      <c r="G14" s="564">
        <v>0</v>
      </c>
      <c r="H14" s="564">
        <v>0</v>
      </c>
      <c r="I14" s="564">
        <v>0</v>
      </c>
      <c r="J14" s="564">
        <v>0</v>
      </c>
      <c r="K14" s="564">
        <v>0</v>
      </c>
      <c r="L14" s="1188" t="s">
        <v>1298</v>
      </c>
    </row>
    <row r="15" spans="1:12">
      <c r="A15" s="970" t="s">
        <v>1299</v>
      </c>
    </row>
    <row r="16" spans="1:12">
      <c r="A16" s="62" t="s">
        <v>1300</v>
      </c>
      <c r="B16" s="564">
        <v>0</v>
      </c>
      <c r="C16" s="564">
        <v>0</v>
      </c>
      <c r="D16" s="564">
        <v>0</v>
      </c>
      <c r="E16" s="564">
        <v>0</v>
      </c>
      <c r="F16" s="564">
        <v>1</v>
      </c>
      <c r="G16" s="564">
        <v>0</v>
      </c>
      <c r="H16" s="564">
        <v>0</v>
      </c>
      <c r="I16" s="564">
        <v>0</v>
      </c>
      <c r="J16" s="564">
        <v>0</v>
      </c>
      <c r="K16" s="564">
        <v>0</v>
      </c>
      <c r="L16" s="1188" t="s">
        <v>1301</v>
      </c>
    </row>
    <row r="17" spans="1:12" ht="12.75" customHeight="1">
      <c r="A17" s="62" t="s">
        <v>1302</v>
      </c>
      <c r="B17" s="564"/>
      <c r="C17" s="564"/>
      <c r="D17" s="564"/>
      <c r="E17" s="564"/>
      <c r="F17" s="564"/>
      <c r="G17" s="564"/>
      <c r="H17" s="564"/>
      <c r="I17" s="564"/>
      <c r="J17" s="564"/>
      <c r="K17" s="564"/>
      <c r="L17" s="1188" t="s">
        <v>1303</v>
      </c>
    </row>
    <row r="18" spans="1:12" ht="12.75" customHeight="1">
      <c r="A18" s="970" t="s">
        <v>1435</v>
      </c>
    </row>
    <row r="19" spans="1:12">
      <c r="A19" s="62" t="s">
        <v>876</v>
      </c>
      <c r="B19" s="564"/>
      <c r="C19" s="564"/>
      <c r="D19" s="564"/>
      <c r="E19" s="564"/>
      <c r="F19" s="564"/>
      <c r="G19" s="564"/>
      <c r="H19" s="564"/>
      <c r="I19" s="564"/>
      <c r="J19" s="564"/>
      <c r="K19" s="564"/>
      <c r="L19" s="1189" t="s">
        <v>1762</v>
      </c>
    </row>
    <row r="20" spans="1:12">
      <c r="A20" s="62" t="s">
        <v>877</v>
      </c>
      <c r="B20" s="564"/>
      <c r="C20" s="564"/>
      <c r="D20" s="564"/>
      <c r="E20" s="564"/>
      <c r="F20" s="564"/>
      <c r="G20" s="564"/>
      <c r="H20" s="564"/>
      <c r="I20" s="564"/>
      <c r="J20" s="564"/>
      <c r="K20" s="564"/>
      <c r="L20" s="1189" t="s">
        <v>1763</v>
      </c>
    </row>
    <row r="21" spans="1:12">
      <c r="A21" s="450" t="s">
        <v>1304</v>
      </c>
      <c r="B21" s="451">
        <f>B13+B14+B16+B17+B19+B20</f>
        <v>1</v>
      </c>
      <c r="C21" s="451">
        <f t="shared" ref="C21:K21" si="0">C13+C14+C16+C17+C19+C20</f>
        <v>0</v>
      </c>
      <c r="D21" s="451">
        <f t="shared" si="0"/>
        <v>0</v>
      </c>
      <c r="E21" s="451">
        <f t="shared" si="0"/>
        <v>0</v>
      </c>
      <c r="F21" s="451">
        <f t="shared" si="0"/>
        <v>2</v>
      </c>
      <c r="G21" s="451">
        <f t="shared" si="0"/>
        <v>0</v>
      </c>
      <c r="H21" s="451">
        <f t="shared" si="0"/>
        <v>0</v>
      </c>
      <c r="I21" s="451">
        <f t="shared" si="0"/>
        <v>0</v>
      </c>
      <c r="J21" s="451">
        <f t="shared" si="0"/>
        <v>0</v>
      </c>
      <c r="K21" s="451">
        <f t="shared" si="0"/>
        <v>0</v>
      </c>
      <c r="L21" s="1189" t="s">
        <v>1305</v>
      </c>
    </row>
    <row r="22" spans="1:12" ht="12.75" customHeight="1">
      <c r="A22" s="9"/>
      <c r="B22" s="1188">
        <v>1</v>
      </c>
      <c r="C22" s="1188">
        <v>1</v>
      </c>
      <c r="D22" s="1188">
        <v>2</v>
      </c>
      <c r="E22" s="1188">
        <v>2</v>
      </c>
      <c r="F22" s="1188">
        <v>3</v>
      </c>
      <c r="G22" s="1188">
        <v>3</v>
      </c>
      <c r="H22" s="1188">
        <v>4</v>
      </c>
      <c r="I22" s="1188">
        <v>4</v>
      </c>
      <c r="J22" s="1188">
        <v>5</v>
      </c>
      <c r="K22" s="1189">
        <v>5</v>
      </c>
      <c r="L22" s="1189" t="s">
        <v>1306</v>
      </c>
    </row>
    <row r="23" spans="1:12">
      <c r="A23" s="9" t="s">
        <v>1466</v>
      </c>
      <c r="B23" s="1188">
        <v>1</v>
      </c>
      <c r="C23" s="1188">
        <v>2</v>
      </c>
      <c r="D23" s="1188">
        <v>1</v>
      </c>
      <c r="E23" s="1188">
        <v>2</v>
      </c>
      <c r="F23" s="1188">
        <v>1</v>
      </c>
      <c r="G23" s="1188">
        <v>2</v>
      </c>
      <c r="H23" s="1188">
        <v>1</v>
      </c>
      <c r="I23" s="1188">
        <v>2</v>
      </c>
      <c r="J23" s="1188">
        <v>1</v>
      </c>
      <c r="K23" s="1189">
        <v>2</v>
      </c>
      <c r="L23" s="1189" t="s">
        <v>1307</v>
      </c>
    </row>
    <row r="24" spans="1:12">
      <c r="A24" s="2255" t="s">
        <v>961</v>
      </c>
      <c r="B24" s="2252" t="s">
        <v>1308</v>
      </c>
      <c r="C24" s="2253"/>
      <c r="D24" s="2253"/>
      <c r="E24" s="2253"/>
      <c r="F24" s="2253"/>
      <c r="G24" s="2253"/>
      <c r="H24" s="2253"/>
      <c r="I24" s="2253"/>
      <c r="J24" s="2253"/>
      <c r="K24" s="2254"/>
      <c r="L24" s="1001"/>
    </row>
    <row r="25" spans="1:12">
      <c r="A25" s="2255"/>
      <c r="B25" s="2256" t="s">
        <v>703</v>
      </c>
      <c r="C25" s="2256"/>
      <c r="D25" s="2257" t="s">
        <v>704</v>
      </c>
      <c r="E25" s="2257"/>
      <c r="F25" s="2247" t="s">
        <v>1323</v>
      </c>
      <c r="G25" s="2247"/>
      <c r="H25" s="2247" t="s">
        <v>705</v>
      </c>
      <c r="I25" s="2247"/>
      <c r="J25" s="2247" t="s">
        <v>706</v>
      </c>
      <c r="K25" s="2247"/>
      <c r="L25" s="1000"/>
    </row>
    <row r="26" spans="1:12">
      <c r="A26" s="2255"/>
      <c r="B26" s="59" t="s">
        <v>707</v>
      </c>
      <c r="C26" s="59" t="s">
        <v>708</v>
      </c>
      <c r="D26" s="59" t="s">
        <v>707</v>
      </c>
      <c r="E26" s="59" t="s">
        <v>708</v>
      </c>
      <c r="F26" s="59" t="s">
        <v>707</v>
      </c>
      <c r="G26" s="59" t="s">
        <v>708</v>
      </c>
      <c r="H26" s="59" t="s">
        <v>707</v>
      </c>
      <c r="I26" s="59" t="s">
        <v>708</v>
      </c>
      <c r="J26" s="59" t="s">
        <v>707</v>
      </c>
      <c r="K26" s="59" t="s">
        <v>708</v>
      </c>
      <c r="L26" s="1000"/>
    </row>
    <row r="27" spans="1:12">
      <c r="A27" s="969" t="s">
        <v>709</v>
      </c>
    </row>
    <row r="28" spans="1:12">
      <c r="A28" s="62" t="s">
        <v>1295</v>
      </c>
      <c r="B28" s="564"/>
      <c r="C28" s="564"/>
      <c r="D28" s="564"/>
      <c r="E28" s="564"/>
      <c r="F28" s="564"/>
      <c r="G28" s="564"/>
      <c r="H28" s="564"/>
      <c r="I28" s="564"/>
      <c r="J28" s="564"/>
      <c r="K28" s="564"/>
      <c r="L28" s="1188" t="s">
        <v>1296</v>
      </c>
    </row>
    <row r="29" spans="1:12">
      <c r="A29" s="62" t="s">
        <v>1297</v>
      </c>
      <c r="B29" s="564"/>
      <c r="C29" s="564"/>
      <c r="D29" s="564"/>
      <c r="E29" s="564"/>
      <c r="F29" s="564"/>
      <c r="G29" s="564"/>
      <c r="H29" s="564"/>
      <c r="I29" s="564"/>
      <c r="J29" s="564"/>
      <c r="K29" s="564"/>
      <c r="L29" s="1188" t="s">
        <v>1298</v>
      </c>
    </row>
    <row r="30" spans="1:12">
      <c r="A30" s="970" t="s">
        <v>1299</v>
      </c>
    </row>
    <row r="31" spans="1:12">
      <c r="A31" s="62" t="s">
        <v>1300</v>
      </c>
      <c r="B31" s="564"/>
      <c r="C31" s="564"/>
      <c r="D31" s="564"/>
      <c r="E31" s="564"/>
      <c r="F31" s="564"/>
      <c r="G31" s="564"/>
      <c r="H31" s="564"/>
      <c r="I31" s="564"/>
      <c r="J31" s="564"/>
      <c r="K31" s="564"/>
      <c r="L31" s="1189" t="s">
        <v>1301</v>
      </c>
    </row>
    <row r="32" spans="1:12">
      <c r="A32" s="62" t="s">
        <v>1302</v>
      </c>
      <c r="B32" s="564"/>
      <c r="C32" s="564"/>
      <c r="D32" s="564"/>
      <c r="E32" s="564"/>
      <c r="F32" s="564"/>
      <c r="G32" s="564"/>
      <c r="H32" s="564"/>
      <c r="I32" s="564"/>
      <c r="J32" s="564"/>
      <c r="K32" s="564"/>
      <c r="L32" s="1189" t="s">
        <v>1303</v>
      </c>
    </row>
    <row r="33" spans="1:12">
      <c r="A33" s="970" t="s">
        <v>1435</v>
      </c>
    </row>
    <row r="34" spans="1:12" ht="12.75" customHeight="1">
      <c r="A34" s="62" t="s">
        <v>876</v>
      </c>
      <c r="B34" s="564"/>
      <c r="C34" s="564"/>
      <c r="D34" s="564"/>
      <c r="E34" s="564"/>
      <c r="F34" s="564"/>
      <c r="G34" s="564"/>
      <c r="H34" s="564"/>
      <c r="I34" s="564"/>
      <c r="J34" s="564"/>
      <c r="K34" s="564"/>
      <c r="L34" s="1189" t="s">
        <v>1762</v>
      </c>
    </row>
    <row r="35" spans="1:12">
      <c r="A35" s="62" t="s">
        <v>877</v>
      </c>
      <c r="B35" s="564"/>
      <c r="C35" s="564"/>
      <c r="D35" s="564"/>
      <c r="E35" s="564"/>
      <c r="F35" s="564"/>
      <c r="G35" s="564"/>
      <c r="H35" s="564"/>
      <c r="I35" s="564"/>
      <c r="J35" s="564"/>
      <c r="K35" s="564"/>
      <c r="L35" s="1189" t="s">
        <v>1763</v>
      </c>
    </row>
    <row r="36" spans="1:12">
      <c r="A36" s="450" t="s">
        <v>1304</v>
      </c>
      <c r="B36" s="451">
        <f>B28+B29+B31+B32+B34+B35</f>
        <v>0</v>
      </c>
      <c r="C36" s="451">
        <f t="shared" ref="C36:K36" si="1">C28+C29+C31+C32+C34+C35</f>
        <v>0</v>
      </c>
      <c r="D36" s="451">
        <f t="shared" si="1"/>
        <v>0</v>
      </c>
      <c r="E36" s="451">
        <f t="shared" si="1"/>
        <v>0</v>
      </c>
      <c r="F36" s="451">
        <f t="shared" si="1"/>
        <v>0</v>
      </c>
      <c r="G36" s="451">
        <f t="shared" si="1"/>
        <v>0</v>
      </c>
      <c r="H36" s="451">
        <f t="shared" si="1"/>
        <v>0</v>
      </c>
      <c r="I36" s="451">
        <f t="shared" si="1"/>
        <v>0</v>
      </c>
      <c r="J36" s="451">
        <f t="shared" si="1"/>
        <v>0</v>
      </c>
      <c r="K36" s="451">
        <f t="shared" si="1"/>
        <v>0</v>
      </c>
      <c r="L36" s="1189" t="s">
        <v>1305</v>
      </c>
    </row>
    <row r="37" spans="1:12">
      <c r="A37" s="9"/>
      <c r="B37" s="1188">
        <v>1</v>
      </c>
      <c r="C37" s="1188">
        <v>1</v>
      </c>
      <c r="D37" s="1188">
        <v>2</v>
      </c>
      <c r="E37" s="1188">
        <v>2</v>
      </c>
      <c r="F37" s="1188">
        <v>3</v>
      </c>
      <c r="G37" s="1188">
        <v>3</v>
      </c>
      <c r="H37" s="1188">
        <v>4</v>
      </c>
      <c r="I37" s="1188">
        <v>4</v>
      </c>
      <c r="J37" s="1188">
        <v>5</v>
      </c>
      <c r="K37" s="1189">
        <v>5</v>
      </c>
      <c r="L37" s="1189" t="s">
        <v>1306</v>
      </c>
    </row>
    <row r="38" spans="1:12">
      <c r="A38" s="9" t="s">
        <v>1467</v>
      </c>
      <c r="B38" s="1188">
        <v>1</v>
      </c>
      <c r="C38" s="1188">
        <v>2</v>
      </c>
      <c r="D38" s="1188">
        <v>1</v>
      </c>
      <c r="E38" s="1188">
        <v>2</v>
      </c>
      <c r="F38" s="1188">
        <v>1</v>
      </c>
      <c r="G38" s="1188">
        <v>2</v>
      </c>
      <c r="H38" s="1188">
        <v>1</v>
      </c>
      <c r="I38" s="1188">
        <v>2</v>
      </c>
      <c r="J38" s="1188">
        <v>1</v>
      </c>
      <c r="K38" s="1189">
        <v>2</v>
      </c>
      <c r="L38" s="1189" t="s">
        <v>1307</v>
      </c>
    </row>
    <row r="39" spans="1:12">
      <c r="A39" s="2255" t="s">
        <v>961</v>
      </c>
      <c r="B39" s="2255" t="s">
        <v>163</v>
      </c>
      <c r="C39" s="2255"/>
    </row>
    <row r="40" spans="1:12">
      <c r="A40" s="2255"/>
      <c r="B40" s="2255"/>
      <c r="C40" s="2255"/>
    </row>
    <row r="41" spans="1:12">
      <c r="A41" s="2255"/>
      <c r="B41" s="59" t="s">
        <v>707</v>
      </c>
      <c r="C41" s="59" t="s">
        <v>708</v>
      </c>
    </row>
    <row r="42" spans="1:12">
      <c r="A42" s="969" t="s">
        <v>709</v>
      </c>
    </row>
    <row r="43" spans="1:12">
      <c r="A43" s="62" t="s">
        <v>1295</v>
      </c>
      <c r="B43" s="564"/>
      <c r="C43" s="564"/>
      <c r="D43" s="1188" t="s">
        <v>1296</v>
      </c>
    </row>
    <row r="44" spans="1:12">
      <c r="A44" s="62" t="s">
        <v>1297</v>
      </c>
      <c r="B44" s="564">
        <v>1</v>
      </c>
      <c r="C44" s="564">
        <v>2</v>
      </c>
      <c r="D44" s="1188" t="s">
        <v>1298</v>
      </c>
    </row>
    <row r="45" spans="1:12">
      <c r="A45" s="970" t="s">
        <v>1299</v>
      </c>
      <c r="D45" s="423"/>
    </row>
    <row r="46" spans="1:12">
      <c r="A46" s="62" t="s">
        <v>1300</v>
      </c>
      <c r="B46" s="564"/>
      <c r="C46" s="564"/>
      <c r="D46" s="1188" t="s">
        <v>1301</v>
      </c>
    </row>
    <row r="47" spans="1:12">
      <c r="A47" s="62" t="s">
        <v>1302</v>
      </c>
      <c r="B47" s="564"/>
      <c r="C47" s="564"/>
      <c r="D47" s="1188" t="s">
        <v>1303</v>
      </c>
    </row>
    <row r="48" spans="1:12">
      <c r="A48" s="970" t="s">
        <v>1435</v>
      </c>
      <c r="D48" s="423"/>
    </row>
    <row r="49" spans="1:4">
      <c r="A49" s="62" t="s">
        <v>876</v>
      </c>
      <c r="B49" s="564"/>
      <c r="C49" s="564"/>
      <c r="D49" s="1188" t="s">
        <v>1762</v>
      </c>
    </row>
    <row r="50" spans="1:4">
      <c r="A50" s="62" t="s">
        <v>877</v>
      </c>
      <c r="B50" s="564"/>
      <c r="C50" s="564"/>
      <c r="D50" s="1189" t="s">
        <v>1763</v>
      </c>
    </row>
    <row r="51" spans="1:4">
      <c r="A51" s="450" t="s">
        <v>1304</v>
      </c>
      <c r="B51" s="451">
        <f>B43+B44+B46+B47+B49+B50</f>
        <v>1</v>
      </c>
      <c r="C51" s="451">
        <f>C43+C44+C46+C47+C49+C50</f>
        <v>2</v>
      </c>
      <c r="D51" s="1189" t="s">
        <v>1305</v>
      </c>
    </row>
    <row r="52" spans="1:4">
      <c r="A52" s="9"/>
      <c r="B52" s="1188">
        <v>1</v>
      </c>
      <c r="C52" s="1188">
        <v>2</v>
      </c>
      <c r="D52" s="1189" t="s">
        <v>1307</v>
      </c>
    </row>
  </sheetData>
  <sheetProtection algorithmName="SHA-512" hashValue="JjJMfYZVjfHFQ53KWSFXKVO/NFbPbMGS3YaRHuSUUzPAx0FfSoAjObMkiJMZqO5GTimK7g3kai3I6GgzTZrkaQ==" saltValue="auxY1BnN0kREymQi+hOgTg==" spinCount="100000" sheet="1" objects="1" scenarios="1"/>
  <mergeCells count="19">
    <mergeCell ref="A39:A41"/>
    <mergeCell ref="B39:C40"/>
    <mergeCell ref="A24:A26"/>
    <mergeCell ref="B25:C25"/>
    <mergeCell ref="J25:K25"/>
    <mergeCell ref="F25:G25"/>
    <mergeCell ref="B24:K24"/>
    <mergeCell ref="D25:E25"/>
    <mergeCell ref="H25:I25"/>
    <mergeCell ref="C1:D1"/>
    <mergeCell ref="H10:I10"/>
    <mergeCell ref="A3:K3"/>
    <mergeCell ref="J10:K10"/>
    <mergeCell ref="F10:G10"/>
    <mergeCell ref="A6:K6"/>
    <mergeCell ref="B9:K9"/>
    <mergeCell ref="A9:A11"/>
    <mergeCell ref="B10:C10"/>
    <mergeCell ref="D10:E10"/>
  </mergeCells>
  <dataValidations count="1">
    <dataValidation type="whole" allowBlank="1" showInputMessage="1" showErrorMessage="1" errorTitle="Erreur de saisie" error="Vous devez saisir une valeur entière" sqref="B13:K14 B16:K17 B19:K20 B28:K29 B31:K32 B34:K35 B43:C44 B46:C47 B49:C50">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50" firstPageNumber="0" orientation="portrait" r:id="rId1"/>
  <headerFooter alignWithMargins="0">
    <oddFooter>&amp;LRSU 2020 - Présentation au CTP&amp;R&amp;P/&amp;N
&amp;A</oddFooter>
  </headerFooter>
</worksheet>
</file>

<file path=xl/worksheets/sheet14.xml><?xml version="1.0" encoding="utf-8"?>
<worksheet xmlns="http://schemas.openxmlformats.org/spreadsheetml/2006/main" xmlns:r="http://schemas.openxmlformats.org/officeDocument/2006/relationships">
  <sheetPr codeName="Feuil82">
    <pageSetUpPr fitToPage="1"/>
  </sheetPr>
  <dimension ref="A1:IV65"/>
  <sheetViews>
    <sheetView showGridLines="0" zoomScaleNormal="100" workbookViewId="0"/>
  </sheetViews>
  <sheetFormatPr baseColWidth="10" defaultColWidth="10.85546875" defaultRowHeight="12.75"/>
  <cols>
    <col min="1" max="1" width="25.7109375" style="1093" customWidth="1"/>
    <col min="2" max="2" width="19.85546875" style="1093" customWidth="1"/>
    <col min="3" max="3" width="16.140625" style="1093" customWidth="1"/>
    <col min="4" max="4" width="17.7109375" style="1093" customWidth="1"/>
    <col min="5" max="5" width="19.7109375" style="1093" customWidth="1"/>
    <col min="6" max="6" width="12" customWidth="1"/>
    <col min="7" max="16384" width="10.85546875" style="1093"/>
  </cols>
  <sheetData>
    <row r="1" spans="1:256" customFormat="1" ht="17.100000000000001" customHeight="1">
      <c r="A1" s="1"/>
      <c r="B1" s="1"/>
      <c r="C1" s="2245" t="s">
        <v>958</v>
      </c>
      <c r="D1" s="2245"/>
      <c r="E1" s="1"/>
      <c r="G1" s="1"/>
    </row>
    <row r="2" spans="1:256" customFormat="1" ht="13.5" thickBot="1"/>
    <row r="3" spans="1:256" s="1098" customFormat="1" ht="25.5" customHeight="1" thickBot="1">
      <c r="A3" s="2267" t="s">
        <v>2336</v>
      </c>
      <c r="B3" s="2267"/>
      <c r="C3" s="2267"/>
      <c r="D3" s="2267"/>
      <c r="E3" s="2267"/>
      <c r="F3"/>
      <c r="G3" s="1165"/>
      <c r="H3" s="1097"/>
      <c r="I3" s="1097"/>
      <c r="J3" s="1097"/>
      <c r="K3" s="1097"/>
      <c r="L3" s="1097"/>
      <c r="M3" s="1097"/>
      <c r="N3" s="1097"/>
      <c r="O3" s="1097"/>
      <c r="P3" s="1097"/>
      <c r="Q3" s="1097"/>
      <c r="R3" s="1097"/>
      <c r="S3" s="1097"/>
      <c r="T3" s="1097"/>
      <c r="U3" s="1097"/>
      <c r="V3" s="1097"/>
      <c r="W3" s="1097"/>
      <c r="X3" s="1097"/>
      <c r="Y3" s="1097"/>
      <c r="Z3" s="1097"/>
      <c r="AA3" s="1097"/>
      <c r="AB3" s="1097"/>
      <c r="AC3" s="1097"/>
      <c r="AD3" s="1097"/>
      <c r="AE3" s="1097"/>
      <c r="AF3" s="1097"/>
      <c r="AG3" s="1097"/>
      <c r="AH3" s="1097"/>
      <c r="AI3" s="1097"/>
      <c r="AJ3" s="1097"/>
      <c r="AK3" s="1097"/>
      <c r="AL3" s="1097"/>
      <c r="AM3" s="1097"/>
      <c r="AN3" s="1097"/>
      <c r="AO3" s="1097"/>
      <c r="AP3" s="1097"/>
      <c r="AQ3" s="1097"/>
      <c r="AR3" s="1097"/>
      <c r="AS3" s="1097"/>
      <c r="AT3" s="1097"/>
      <c r="AU3" s="1097"/>
      <c r="AV3" s="1097"/>
      <c r="AW3" s="1097"/>
      <c r="AX3" s="1097"/>
      <c r="AY3" s="1097"/>
      <c r="AZ3" s="1097"/>
      <c r="BA3" s="1097"/>
      <c r="BB3" s="1097"/>
      <c r="BC3" s="1097"/>
      <c r="BD3" s="1097"/>
      <c r="BE3" s="1097"/>
      <c r="BF3" s="1097"/>
      <c r="BG3" s="1097"/>
      <c r="BH3" s="1097"/>
      <c r="BI3" s="1097"/>
      <c r="BJ3" s="1097"/>
      <c r="BK3" s="1097"/>
      <c r="BL3" s="1097"/>
      <c r="BM3" s="1097"/>
      <c r="BN3" s="1097"/>
      <c r="BO3" s="1097"/>
      <c r="BP3" s="1097"/>
      <c r="BQ3" s="1097"/>
      <c r="BR3" s="1097"/>
      <c r="BS3" s="1097"/>
      <c r="BT3" s="1097"/>
      <c r="BU3" s="1097"/>
      <c r="BV3" s="1097"/>
      <c r="BW3" s="1097"/>
      <c r="BX3" s="1097"/>
      <c r="BY3" s="1097"/>
      <c r="BZ3" s="1097"/>
      <c r="CA3" s="1097"/>
      <c r="CB3" s="1097"/>
      <c r="CC3" s="1097"/>
      <c r="CD3" s="1097"/>
      <c r="CE3" s="1097"/>
      <c r="CF3" s="1097"/>
      <c r="CG3" s="1097"/>
      <c r="CH3" s="1097"/>
      <c r="CI3" s="1097"/>
      <c r="CJ3" s="1097"/>
      <c r="CK3" s="1097"/>
      <c r="CL3" s="1097"/>
      <c r="CM3" s="1097"/>
      <c r="CN3" s="1097"/>
      <c r="CO3" s="1097"/>
      <c r="CP3" s="1097"/>
      <c r="CQ3" s="1097"/>
      <c r="CR3" s="1097"/>
      <c r="CS3" s="1097"/>
      <c r="CT3" s="1097"/>
      <c r="CU3" s="1097"/>
      <c r="CV3" s="1097"/>
      <c r="CW3" s="1097"/>
      <c r="CX3" s="1097"/>
      <c r="CY3" s="1097"/>
      <c r="CZ3" s="1097"/>
      <c r="DA3" s="1097"/>
      <c r="DB3" s="1097"/>
      <c r="DC3" s="1097"/>
      <c r="DD3" s="1097"/>
      <c r="DE3" s="1097"/>
      <c r="DF3" s="1097"/>
      <c r="DG3" s="1097"/>
      <c r="DH3" s="1097"/>
      <c r="DI3" s="1097"/>
      <c r="DJ3" s="1097"/>
      <c r="DK3" s="1097"/>
      <c r="DL3" s="1097"/>
      <c r="DM3" s="1097"/>
      <c r="DN3" s="1097"/>
      <c r="DO3" s="1097"/>
      <c r="DP3" s="1097"/>
      <c r="DQ3" s="1097"/>
      <c r="DR3" s="1097"/>
      <c r="DS3" s="1097"/>
      <c r="DT3" s="1097"/>
      <c r="DU3" s="1097"/>
      <c r="DV3" s="1097"/>
      <c r="DW3" s="1097"/>
      <c r="DX3" s="1097"/>
      <c r="DY3" s="1097"/>
      <c r="DZ3" s="1097"/>
      <c r="EA3" s="1097"/>
      <c r="EB3" s="1097"/>
      <c r="EC3" s="1097"/>
      <c r="ED3" s="1097"/>
      <c r="EE3" s="1097"/>
      <c r="EF3" s="1097"/>
      <c r="EG3" s="1097"/>
      <c r="EH3" s="1097"/>
      <c r="EI3" s="1097"/>
      <c r="EJ3" s="1097"/>
      <c r="EK3" s="1097"/>
      <c r="EL3" s="1097"/>
      <c r="EM3" s="1097"/>
      <c r="EN3" s="1097"/>
      <c r="EO3" s="1097"/>
      <c r="EP3" s="1097"/>
      <c r="EQ3" s="1097"/>
      <c r="ER3" s="1097"/>
      <c r="ES3" s="1097"/>
      <c r="ET3" s="1097"/>
      <c r="EU3" s="1097"/>
      <c r="EV3" s="1097"/>
      <c r="EW3" s="1097"/>
      <c r="EX3" s="1097"/>
      <c r="EY3" s="1097"/>
      <c r="EZ3" s="1097"/>
      <c r="FA3" s="1097"/>
      <c r="FB3" s="1097"/>
      <c r="FC3" s="1097"/>
      <c r="FD3" s="1097"/>
      <c r="FE3" s="1097"/>
      <c r="FF3" s="1097"/>
      <c r="FG3" s="1097"/>
      <c r="FH3" s="1097"/>
      <c r="FI3" s="1097"/>
      <c r="FJ3" s="1097"/>
      <c r="FK3" s="1097"/>
      <c r="FL3" s="1097"/>
      <c r="FM3" s="1097"/>
      <c r="FN3" s="1097"/>
      <c r="FO3" s="1097"/>
      <c r="FP3" s="1097"/>
      <c r="FQ3" s="1097"/>
      <c r="FR3" s="1097"/>
      <c r="FS3" s="1097"/>
      <c r="FT3" s="1097"/>
      <c r="FU3" s="1097"/>
      <c r="FV3" s="1097"/>
      <c r="FW3" s="1097"/>
      <c r="FX3" s="1097"/>
      <c r="FY3" s="1097"/>
      <c r="FZ3" s="1097"/>
      <c r="GA3" s="1097"/>
      <c r="GB3" s="1097"/>
      <c r="GC3" s="1097"/>
      <c r="GD3" s="1097"/>
      <c r="GE3" s="1097"/>
      <c r="GF3" s="1097"/>
      <c r="GG3" s="1097"/>
      <c r="GH3" s="1097"/>
      <c r="GI3" s="1097"/>
      <c r="GJ3" s="1097"/>
      <c r="GK3" s="1097"/>
      <c r="GL3" s="1097"/>
      <c r="GM3" s="1097"/>
      <c r="GN3" s="1097"/>
      <c r="GO3" s="1097"/>
      <c r="GP3" s="1097"/>
      <c r="GQ3" s="1097"/>
      <c r="GR3" s="1097"/>
      <c r="GS3" s="1097"/>
      <c r="GT3" s="1097"/>
      <c r="GU3" s="1097"/>
      <c r="GV3" s="1097"/>
      <c r="GW3" s="1097"/>
      <c r="GX3" s="1097"/>
      <c r="GY3" s="1097"/>
      <c r="GZ3" s="1097"/>
      <c r="HA3" s="1097"/>
      <c r="HB3" s="1097"/>
      <c r="HC3" s="1097"/>
      <c r="HD3" s="1097"/>
      <c r="HE3" s="1097"/>
      <c r="HF3" s="1097"/>
      <c r="HG3" s="1097"/>
      <c r="HH3" s="1097"/>
      <c r="HI3" s="1097"/>
      <c r="HJ3" s="1097"/>
      <c r="HK3" s="1097"/>
      <c r="HL3" s="1097"/>
      <c r="HM3" s="1097"/>
      <c r="HN3" s="1097"/>
      <c r="HO3" s="1097"/>
      <c r="HP3" s="1097"/>
      <c r="HQ3" s="1097"/>
      <c r="HR3" s="1097"/>
      <c r="HS3" s="1097"/>
      <c r="HT3" s="1097"/>
      <c r="HU3" s="1097"/>
      <c r="HV3" s="1097"/>
      <c r="HW3" s="1097"/>
      <c r="HX3" s="1097"/>
      <c r="HY3" s="1097"/>
      <c r="HZ3" s="1097"/>
      <c r="IA3" s="1097"/>
      <c r="IB3" s="1097"/>
      <c r="IC3" s="1097"/>
      <c r="ID3" s="1097"/>
      <c r="IE3" s="1097"/>
      <c r="IF3" s="1097"/>
      <c r="IG3" s="1097"/>
      <c r="IH3" s="1097"/>
      <c r="II3" s="1097"/>
      <c r="IJ3" s="1097"/>
      <c r="IK3" s="1097"/>
      <c r="IL3" s="1097"/>
      <c r="IM3" s="1097"/>
      <c r="IN3" s="1097"/>
      <c r="IO3" s="1097"/>
      <c r="IP3" s="1097"/>
      <c r="IQ3" s="1097"/>
      <c r="IR3" s="1097"/>
      <c r="IS3" s="1097"/>
      <c r="IT3" s="1097"/>
      <c r="IU3" s="1097"/>
      <c r="IV3" s="1097"/>
    </row>
    <row r="4" spans="1:256" customFormat="1"/>
    <row r="5" spans="1:256" ht="12.75" customHeight="1">
      <c r="A5" s="2242" t="s">
        <v>197</v>
      </c>
      <c r="B5" s="2242"/>
      <c r="C5" s="2242"/>
      <c r="D5" s="2242"/>
      <c r="E5" s="2242"/>
    </row>
    <row r="6" spans="1:256" s="1098" customFormat="1" ht="12.75" customHeight="1">
      <c r="A6" s="2244" t="s">
        <v>1536</v>
      </c>
      <c r="B6" s="2244"/>
      <c r="C6" s="2244"/>
      <c r="D6" s="2244"/>
      <c r="E6" s="2244"/>
      <c r="F6"/>
      <c r="G6" s="1097"/>
      <c r="H6" s="1097"/>
      <c r="I6" s="1097"/>
      <c r="J6" s="1097"/>
      <c r="K6" s="1097"/>
      <c r="L6" s="1097"/>
      <c r="M6" s="1097"/>
      <c r="N6" s="1097"/>
      <c r="O6" s="1097"/>
      <c r="P6" s="1097"/>
      <c r="Q6" s="1097"/>
      <c r="R6" s="1097"/>
      <c r="S6" s="1097"/>
      <c r="T6" s="1097"/>
      <c r="U6" s="1097"/>
      <c r="V6" s="1097"/>
      <c r="W6" s="1097"/>
      <c r="X6" s="1097"/>
      <c r="Y6" s="1097"/>
      <c r="Z6" s="1097"/>
      <c r="AA6" s="1097"/>
      <c r="AB6" s="1097"/>
      <c r="AC6" s="1097"/>
      <c r="AD6" s="1097"/>
      <c r="AE6" s="1097"/>
      <c r="AF6" s="1097"/>
      <c r="AG6" s="1097"/>
      <c r="AH6" s="1097"/>
      <c r="AI6" s="1097"/>
      <c r="AJ6" s="1097"/>
      <c r="AK6" s="1097"/>
      <c r="AL6" s="1097"/>
      <c r="AM6" s="1097"/>
      <c r="AN6" s="1097"/>
      <c r="AO6" s="1097"/>
      <c r="AP6" s="1097"/>
      <c r="AQ6" s="1097"/>
      <c r="AR6" s="1097"/>
      <c r="AS6" s="1097"/>
      <c r="AT6" s="1097"/>
      <c r="AU6" s="1097"/>
      <c r="AV6" s="1097"/>
      <c r="AW6" s="1097"/>
      <c r="AX6" s="1097"/>
      <c r="AY6" s="1097"/>
      <c r="AZ6" s="1097"/>
      <c r="BA6" s="1097"/>
      <c r="BB6" s="1097"/>
      <c r="BC6" s="1097"/>
      <c r="BD6" s="1097"/>
      <c r="BE6" s="1097"/>
      <c r="BF6" s="1097"/>
      <c r="BG6" s="1097"/>
      <c r="BH6" s="1097"/>
      <c r="BI6" s="1097"/>
      <c r="BJ6" s="1097"/>
      <c r="BK6" s="1097"/>
      <c r="BL6" s="1097"/>
      <c r="BM6" s="1097"/>
      <c r="BN6" s="1097"/>
      <c r="BO6" s="1097"/>
      <c r="BP6" s="1097"/>
      <c r="BQ6" s="1097"/>
      <c r="BR6" s="1097"/>
      <c r="BS6" s="1097"/>
      <c r="BT6" s="1097"/>
      <c r="BU6" s="1097"/>
      <c r="BV6" s="1097"/>
      <c r="BW6" s="1097"/>
      <c r="BX6" s="1097"/>
      <c r="BY6" s="1097"/>
      <c r="BZ6" s="1097"/>
      <c r="CA6" s="1097"/>
      <c r="CB6" s="1097"/>
      <c r="CC6" s="1097"/>
      <c r="CD6" s="1097"/>
      <c r="CE6" s="1097"/>
      <c r="CF6" s="1097"/>
      <c r="CG6" s="1097"/>
      <c r="CH6" s="1097"/>
      <c r="CI6" s="1097"/>
      <c r="CJ6" s="1097"/>
      <c r="CK6" s="1097"/>
      <c r="CL6" s="1097"/>
      <c r="CM6" s="1097"/>
      <c r="CN6" s="1097"/>
      <c r="CO6" s="1097"/>
      <c r="CP6" s="1097"/>
      <c r="CQ6" s="1097"/>
      <c r="CR6" s="1097"/>
      <c r="CS6" s="1097"/>
      <c r="CT6" s="1097"/>
      <c r="CU6" s="1097"/>
      <c r="CV6" s="1097"/>
      <c r="CW6" s="1097"/>
      <c r="CX6" s="1097"/>
      <c r="CY6" s="1097"/>
      <c r="CZ6" s="1097"/>
      <c r="DA6" s="1097"/>
      <c r="DB6" s="1097"/>
      <c r="DC6" s="1097"/>
      <c r="DD6" s="1097"/>
      <c r="DE6" s="1097"/>
      <c r="DF6" s="1097"/>
      <c r="DG6" s="1097"/>
      <c r="DH6" s="1097"/>
      <c r="DI6" s="1097"/>
      <c r="DJ6" s="1097"/>
      <c r="DK6" s="1097"/>
      <c r="DL6" s="1097"/>
      <c r="DM6" s="1097"/>
      <c r="DN6" s="1097"/>
      <c r="DO6" s="1097"/>
      <c r="DP6" s="1097"/>
      <c r="DQ6" s="1097"/>
      <c r="DR6" s="1097"/>
      <c r="DS6" s="1097"/>
      <c r="DT6" s="1097"/>
      <c r="DU6" s="1097"/>
      <c r="DV6" s="1097"/>
      <c r="DW6" s="1097"/>
      <c r="DX6" s="1097"/>
      <c r="DY6" s="1097"/>
      <c r="DZ6" s="1097"/>
      <c r="EA6" s="1097"/>
      <c r="EB6" s="1097"/>
      <c r="EC6" s="1097"/>
      <c r="ED6" s="1097"/>
      <c r="EE6" s="1097"/>
      <c r="EF6" s="1097"/>
      <c r="EG6" s="1097"/>
      <c r="EH6" s="1097"/>
      <c r="EI6" s="1097"/>
      <c r="EJ6" s="1097"/>
      <c r="EK6" s="1097"/>
      <c r="EL6" s="1097"/>
      <c r="EM6" s="1097"/>
      <c r="EN6" s="1097"/>
      <c r="EO6" s="1097"/>
      <c r="EP6" s="1097"/>
      <c r="EQ6" s="1097"/>
      <c r="ER6" s="1097"/>
      <c r="ES6" s="1097"/>
      <c r="ET6" s="1097"/>
      <c r="EU6" s="1097"/>
      <c r="EV6" s="1097"/>
      <c r="EW6" s="1097"/>
      <c r="EX6" s="1097"/>
      <c r="EY6" s="1097"/>
      <c r="EZ6" s="1097"/>
      <c r="FA6" s="1097"/>
      <c r="FB6" s="1097"/>
      <c r="FC6" s="1097"/>
      <c r="FD6" s="1097"/>
      <c r="FE6" s="1097"/>
      <c r="FF6" s="1097"/>
      <c r="FG6" s="1097"/>
      <c r="FH6" s="1097"/>
      <c r="FI6" s="1097"/>
      <c r="FJ6" s="1097"/>
      <c r="FK6" s="1097"/>
      <c r="FL6" s="1097"/>
      <c r="FM6" s="1097"/>
      <c r="FN6" s="1097"/>
      <c r="FO6" s="1097"/>
      <c r="FP6" s="1097"/>
      <c r="FQ6" s="1097"/>
      <c r="FR6" s="1097"/>
      <c r="FS6" s="1097"/>
      <c r="FT6" s="1097"/>
      <c r="FU6" s="1097"/>
      <c r="FV6" s="1097"/>
      <c r="FW6" s="1097"/>
      <c r="FX6" s="1097"/>
      <c r="FY6" s="1097"/>
      <c r="FZ6" s="1097"/>
      <c r="GA6" s="1097"/>
      <c r="GB6" s="1097"/>
      <c r="GC6" s="1097"/>
      <c r="GD6" s="1097"/>
      <c r="GE6" s="1097"/>
      <c r="GF6" s="1097"/>
      <c r="GG6" s="1097"/>
      <c r="GH6" s="1097"/>
      <c r="GI6" s="1097"/>
      <c r="GJ6" s="1097"/>
      <c r="GK6" s="1097"/>
      <c r="GL6" s="1097"/>
      <c r="GM6" s="1097"/>
      <c r="GN6" s="1097"/>
      <c r="GO6" s="1097"/>
      <c r="GP6" s="1097"/>
      <c r="GQ6" s="1097"/>
      <c r="GR6" s="1097"/>
      <c r="GS6" s="1097"/>
      <c r="GT6" s="1097"/>
      <c r="GU6" s="1097"/>
      <c r="GV6" s="1097"/>
      <c r="GW6" s="1097"/>
      <c r="GX6" s="1097"/>
      <c r="GY6" s="1097"/>
      <c r="GZ6" s="1097"/>
      <c r="HA6" s="1097"/>
      <c r="HB6" s="1097"/>
      <c r="HC6" s="1097"/>
      <c r="HD6" s="1097"/>
      <c r="HE6" s="1097"/>
      <c r="HF6" s="1097"/>
      <c r="HG6" s="1097"/>
      <c r="HH6" s="1097"/>
      <c r="HI6" s="1097"/>
      <c r="HJ6" s="1097"/>
      <c r="HK6" s="1097"/>
      <c r="HL6" s="1097"/>
      <c r="HM6" s="1097"/>
      <c r="HN6" s="1097"/>
      <c r="HO6" s="1097"/>
      <c r="HP6" s="1097"/>
      <c r="HQ6" s="1097"/>
      <c r="HR6" s="1097"/>
      <c r="HS6" s="1097"/>
      <c r="HT6" s="1097"/>
      <c r="HU6" s="1097"/>
      <c r="HV6" s="1097"/>
      <c r="HW6" s="1097"/>
      <c r="HX6" s="1097"/>
      <c r="HY6" s="1097"/>
      <c r="HZ6" s="1097"/>
      <c r="IA6" s="1097"/>
      <c r="IB6" s="1097"/>
      <c r="IC6" s="1097"/>
      <c r="ID6" s="1097"/>
      <c r="IE6" s="1097"/>
      <c r="IF6" s="1097"/>
      <c r="IG6" s="1097"/>
      <c r="IH6" s="1097"/>
      <c r="II6" s="1097"/>
      <c r="IJ6" s="1097"/>
      <c r="IK6" s="1097"/>
      <c r="IL6" s="1097"/>
      <c r="IM6" s="1097"/>
      <c r="IN6" s="1097"/>
      <c r="IO6" s="1097"/>
      <c r="IP6" s="1097"/>
      <c r="IQ6" s="1097"/>
      <c r="IR6" s="1097"/>
      <c r="IS6" s="1097"/>
      <c r="IT6" s="1097"/>
      <c r="IU6" s="1097"/>
      <c r="IV6" s="1097"/>
    </row>
    <row r="7" spans="1:256" customFormat="1" ht="12.75" customHeight="1"/>
    <row r="8" spans="1:256" customFormat="1"/>
    <row r="9" spans="1:256" ht="12.75" customHeight="1">
      <c r="A9" s="2244" t="s">
        <v>959</v>
      </c>
      <c r="B9" s="2244"/>
      <c r="C9" s="2244"/>
      <c r="D9" s="2244"/>
      <c r="E9" s="2244"/>
    </row>
    <row r="10" spans="1:256" customFormat="1"/>
    <row r="11" spans="1:256" s="1098" customFormat="1" ht="12.75" customHeight="1">
      <c r="A11" s="2239" t="s">
        <v>198</v>
      </c>
      <c r="B11" s="2239"/>
      <c r="C11" s="2239"/>
      <c r="D11" s="2239"/>
      <c r="E11" s="2239"/>
      <c r="F11"/>
      <c r="G11" s="1097"/>
      <c r="H11" s="1097"/>
      <c r="I11" s="1097"/>
      <c r="J11" s="1097"/>
      <c r="K11" s="1097"/>
      <c r="L11" s="1097"/>
      <c r="M11" s="1097"/>
      <c r="N11" s="1097"/>
      <c r="O11" s="1097"/>
      <c r="P11" s="1097"/>
      <c r="Q11" s="1097"/>
      <c r="R11" s="1097"/>
      <c r="S11" s="1097"/>
      <c r="T11" s="1097"/>
      <c r="U11" s="1097"/>
      <c r="V11" s="1097"/>
      <c r="W11" s="1097"/>
      <c r="X11" s="1097"/>
      <c r="Y11" s="1097"/>
      <c r="Z11" s="1097"/>
      <c r="AA11" s="1097"/>
      <c r="AB11" s="1097"/>
      <c r="AC11" s="1097"/>
      <c r="AD11" s="1097"/>
      <c r="AE11" s="1097"/>
      <c r="AF11" s="1097"/>
      <c r="AG11" s="1097"/>
      <c r="AH11" s="1097"/>
      <c r="AI11" s="1097"/>
      <c r="AJ11" s="1097"/>
      <c r="AK11" s="1097"/>
      <c r="AL11" s="1097"/>
      <c r="AM11" s="1097"/>
      <c r="AN11" s="1097"/>
      <c r="AO11" s="1097"/>
      <c r="AP11" s="1097"/>
      <c r="AQ11" s="1097"/>
      <c r="AR11" s="1097"/>
      <c r="AS11" s="1097"/>
      <c r="AT11" s="1097"/>
      <c r="AU11" s="1097"/>
      <c r="AV11" s="1097"/>
      <c r="AW11" s="1097"/>
      <c r="AX11" s="1097"/>
      <c r="AY11" s="1097"/>
      <c r="AZ11" s="1097"/>
      <c r="BA11" s="1097"/>
      <c r="BB11" s="1097"/>
      <c r="BC11" s="1097"/>
      <c r="BD11" s="1097"/>
      <c r="BE11" s="1097"/>
      <c r="BF11" s="1097"/>
      <c r="BG11" s="1097"/>
      <c r="BH11" s="1097"/>
      <c r="BI11" s="1097"/>
      <c r="BJ11" s="1097"/>
      <c r="BK11" s="1097"/>
      <c r="BL11" s="1097"/>
      <c r="BM11" s="1097"/>
      <c r="BN11" s="1097"/>
      <c r="BO11" s="1097"/>
      <c r="BP11" s="1097"/>
      <c r="BQ11" s="1097"/>
      <c r="BR11" s="1097"/>
      <c r="BS11" s="1097"/>
      <c r="BT11" s="1097"/>
      <c r="BU11" s="1097"/>
      <c r="BV11" s="1097"/>
      <c r="BW11" s="1097"/>
      <c r="BX11" s="1097"/>
      <c r="BY11" s="1097"/>
      <c r="BZ11" s="1097"/>
      <c r="CA11" s="1097"/>
      <c r="CB11" s="1097"/>
      <c r="CC11" s="1097"/>
      <c r="CD11" s="1097"/>
      <c r="CE11" s="1097"/>
      <c r="CF11" s="1097"/>
      <c r="CG11" s="1097"/>
      <c r="CH11" s="1097"/>
      <c r="CI11" s="1097"/>
      <c r="CJ11" s="1097"/>
      <c r="CK11" s="1097"/>
      <c r="CL11" s="1097"/>
      <c r="CM11" s="1097"/>
      <c r="CN11" s="1097"/>
      <c r="CO11" s="1097"/>
      <c r="CP11" s="1097"/>
      <c r="CQ11" s="1097"/>
      <c r="CR11" s="1097"/>
      <c r="CS11" s="1097"/>
      <c r="CT11" s="1097"/>
      <c r="CU11" s="1097"/>
      <c r="CV11" s="1097"/>
      <c r="CW11" s="1097"/>
      <c r="CX11" s="1097"/>
      <c r="CY11" s="1097"/>
      <c r="CZ11" s="1097"/>
      <c r="DA11" s="1097"/>
      <c r="DB11" s="1097"/>
      <c r="DC11" s="1097"/>
      <c r="DD11" s="1097"/>
      <c r="DE11" s="1097"/>
      <c r="DF11" s="1097"/>
      <c r="DG11" s="1097"/>
      <c r="DH11" s="1097"/>
      <c r="DI11" s="1097"/>
      <c r="DJ11" s="1097"/>
      <c r="DK11" s="1097"/>
      <c r="DL11" s="1097"/>
      <c r="DM11" s="1097"/>
      <c r="DN11" s="1097"/>
      <c r="DO11" s="1097"/>
      <c r="DP11" s="1097"/>
      <c r="DQ11" s="1097"/>
      <c r="DR11" s="1097"/>
      <c r="DS11" s="1097"/>
      <c r="DT11" s="1097"/>
      <c r="DU11" s="1097"/>
      <c r="DV11" s="1097"/>
      <c r="DW11" s="1097"/>
      <c r="DX11" s="1097"/>
      <c r="DY11" s="1097"/>
      <c r="DZ11" s="1097"/>
      <c r="EA11" s="1097"/>
      <c r="EB11" s="1097"/>
      <c r="EC11" s="1097"/>
      <c r="ED11" s="1097"/>
      <c r="EE11" s="1097"/>
      <c r="EF11" s="1097"/>
      <c r="EG11" s="1097"/>
      <c r="EH11" s="1097"/>
      <c r="EI11" s="1097"/>
      <c r="EJ11" s="1097"/>
      <c r="EK11" s="1097"/>
      <c r="EL11" s="1097"/>
      <c r="EM11" s="1097"/>
      <c r="EN11" s="1097"/>
      <c r="EO11" s="1097"/>
      <c r="EP11" s="1097"/>
      <c r="EQ11" s="1097"/>
      <c r="ER11" s="1097"/>
      <c r="ES11" s="1097"/>
      <c r="ET11" s="1097"/>
      <c r="EU11" s="1097"/>
      <c r="EV11" s="1097"/>
      <c r="EW11" s="1097"/>
      <c r="EX11" s="1097"/>
      <c r="EY11" s="1097"/>
      <c r="EZ11" s="1097"/>
      <c r="FA11" s="1097"/>
      <c r="FB11" s="1097"/>
      <c r="FC11" s="1097"/>
      <c r="FD11" s="1097"/>
      <c r="FE11" s="1097"/>
      <c r="FF11" s="1097"/>
      <c r="FG11" s="1097"/>
      <c r="FH11" s="1097"/>
      <c r="FI11" s="1097"/>
      <c r="FJ11" s="1097"/>
      <c r="FK11" s="1097"/>
      <c r="FL11" s="1097"/>
      <c r="FM11" s="1097"/>
      <c r="FN11" s="1097"/>
      <c r="FO11" s="1097"/>
      <c r="FP11" s="1097"/>
      <c r="FQ11" s="1097"/>
      <c r="FR11" s="1097"/>
      <c r="FS11" s="1097"/>
      <c r="FT11" s="1097"/>
      <c r="FU11" s="1097"/>
      <c r="FV11" s="1097"/>
      <c r="FW11" s="1097"/>
      <c r="FX11" s="1097"/>
      <c r="FY11" s="1097"/>
      <c r="FZ11" s="1097"/>
      <c r="GA11" s="1097"/>
      <c r="GB11" s="1097"/>
      <c r="GC11" s="1097"/>
      <c r="GD11" s="1097"/>
      <c r="GE11" s="1097"/>
      <c r="GF11" s="1097"/>
      <c r="GG11" s="1097"/>
      <c r="GH11" s="1097"/>
      <c r="GI11" s="1097"/>
      <c r="GJ11" s="1097"/>
      <c r="GK11" s="1097"/>
      <c r="GL11" s="1097"/>
      <c r="GM11" s="1097"/>
      <c r="GN11" s="1097"/>
      <c r="GO11" s="1097"/>
      <c r="GP11" s="1097"/>
      <c r="GQ11" s="1097"/>
      <c r="GR11" s="1097"/>
      <c r="GS11" s="1097"/>
      <c r="GT11" s="1097"/>
      <c r="GU11" s="1097"/>
      <c r="GV11" s="1097"/>
      <c r="GW11" s="1097"/>
      <c r="GX11" s="1097"/>
      <c r="GY11" s="1097"/>
      <c r="GZ11" s="1097"/>
      <c r="HA11" s="1097"/>
      <c r="HB11" s="1097"/>
      <c r="HC11" s="1097"/>
      <c r="HD11" s="1097"/>
      <c r="HE11" s="1097"/>
      <c r="HF11" s="1097"/>
      <c r="HG11" s="1097"/>
      <c r="HH11" s="1097"/>
      <c r="HI11" s="1097"/>
      <c r="HJ11" s="1097"/>
      <c r="HK11" s="1097"/>
      <c r="HL11" s="1097"/>
      <c r="HM11" s="1097"/>
      <c r="HN11" s="1097"/>
      <c r="HO11" s="1097"/>
      <c r="HP11" s="1097"/>
      <c r="HQ11" s="1097"/>
      <c r="HR11" s="1097"/>
      <c r="HS11" s="1097"/>
      <c r="HT11" s="1097"/>
      <c r="HU11" s="1097"/>
      <c r="HV11" s="1097"/>
      <c r="HW11" s="1097"/>
      <c r="HX11" s="1097"/>
      <c r="HY11" s="1097"/>
      <c r="HZ11" s="1097"/>
      <c r="IA11" s="1097"/>
      <c r="IB11" s="1097"/>
      <c r="IC11" s="1097"/>
      <c r="ID11" s="1097"/>
      <c r="IE11" s="1097"/>
      <c r="IF11" s="1097"/>
      <c r="IG11" s="1097"/>
      <c r="IH11" s="1097"/>
      <c r="II11" s="1097"/>
      <c r="IJ11" s="1097"/>
      <c r="IK11" s="1097"/>
      <c r="IL11" s="1097"/>
      <c r="IM11" s="1097"/>
      <c r="IN11" s="1097"/>
      <c r="IO11" s="1097"/>
      <c r="IP11" s="1097"/>
      <c r="IQ11" s="1097"/>
      <c r="IR11" s="1097"/>
      <c r="IS11" s="1097"/>
      <c r="IT11" s="1097"/>
      <c r="IU11" s="1097"/>
      <c r="IV11" s="1097"/>
    </row>
    <row r="12" spans="1:256" customFormat="1" ht="12.75" customHeight="1"/>
    <row r="13" spans="1:256" ht="12.75" customHeight="1">
      <c r="A13" s="2263" t="s">
        <v>1841</v>
      </c>
      <c r="B13" s="2263"/>
      <c r="C13" s="2263"/>
      <c r="D13" s="2263"/>
      <c r="E13" s="2263"/>
    </row>
    <row r="14" spans="1:256" ht="39" customHeight="1">
      <c r="A14" s="2261" t="s">
        <v>2587</v>
      </c>
      <c r="B14" s="2261"/>
      <c r="C14" s="2261"/>
      <c r="D14" s="2261"/>
      <c r="E14" s="2261"/>
      <c r="G14" s="1166"/>
    </row>
    <row r="15" spans="1:256" customFormat="1" ht="12.75" customHeight="1"/>
    <row r="16" spans="1:256" s="1098" customFormat="1" ht="12.75" customHeight="1">
      <c r="A16" s="2239" t="s">
        <v>199</v>
      </c>
      <c r="B16" s="2239"/>
      <c r="C16" s="2239"/>
      <c r="D16" s="2239"/>
      <c r="E16" s="2239"/>
      <c r="F16"/>
      <c r="G16" s="1097"/>
      <c r="H16" s="1097"/>
      <c r="I16" s="1097"/>
      <c r="J16" s="1097"/>
      <c r="K16" s="1097"/>
      <c r="L16" s="1097"/>
      <c r="M16" s="1097"/>
      <c r="N16" s="1097"/>
      <c r="O16" s="1097"/>
      <c r="P16" s="1097"/>
      <c r="Q16" s="1097"/>
      <c r="R16" s="1097"/>
      <c r="S16" s="1097"/>
      <c r="T16" s="1097"/>
      <c r="U16" s="1097"/>
      <c r="V16" s="1097"/>
      <c r="W16" s="1097"/>
      <c r="X16" s="1097"/>
      <c r="Y16" s="1097"/>
      <c r="Z16" s="1097"/>
      <c r="AA16" s="1097"/>
      <c r="AB16" s="1097"/>
      <c r="AC16" s="1097"/>
      <c r="AD16" s="1097"/>
      <c r="AE16" s="1097"/>
      <c r="AF16" s="1097"/>
      <c r="AG16" s="1097"/>
      <c r="AH16" s="1097"/>
      <c r="AI16" s="1097"/>
      <c r="AJ16" s="1097"/>
      <c r="AK16" s="1097"/>
      <c r="AL16" s="1097"/>
      <c r="AM16" s="1097"/>
      <c r="AN16" s="1097"/>
      <c r="AO16" s="1097"/>
      <c r="AP16" s="1097"/>
      <c r="AQ16" s="1097"/>
      <c r="AR16" s="1097"/>
      <c r="AS16" s="1097"/>
      <c r="AT16" s="1097"/>
      <c r="AU16" s="1097"/>
      <c r="AV16" s="1097"/>
      <c r="AW16" s="1097"/>
      <c r="AX16" s="1097"/>
      <c r="AY16" s="1097"/>
      <c r="AZ16" s="1097"/>
      <c r="BA16" s="1097"/>
      <c r="BB16" s="1097"/>
      <c r="BC16" s="1097"/>
      <c r="BD16" s="1097"/>
      <c r="BE16" s="1097"/>
      <c r="BF16" s="1097"/>
      <c r="BG16" s="1097"/>
      <c r="BH16" s="1097"/>
      <c r="BI16" s="1097"/>
      <c r="BJ16" s="1097"/>
      <c r="BK16" s="1097"/>
      <c r="BL16" s="1097"/>
      <c r="BM16" s="1097"/>
      <c r="BN16" s="1097"/>
      <c r="BO16" s="1097"/>
      <c r="BP16" s="1097"/>
      <c r="BQ16" s="1097"/>
      <c r="BR16" s="1097"/>
      <c r="BS16" s="1097"/>
      <c r="BT16" s="1097"/>
      <c r="BU16" s="1097"/>
      <c r="BV16" s="1097"/>
      <c r="BW16" s="1097"/>
      <c r="BX16" s="1097"/>
      <c r="BY16" s="1097"/>
      <c r="BZ16" s="1097"/>
      <c r="CA16" s="1097"/>
      <c r="CB16" s="1097"/>
      <c r="CC16" s="1097"/>
      <c r="CD16" s="1097"/>
      <c r="CE16" s="1097"/>
      <c r="CF16" s="1097"/>
      <c r="CG16" s="1097"/>
      <c r="CH16" s="1097"/>
      <c r="CI16" s="1097"/>
      <c r="CJ16" s="1097"/>
      <c r="CK16" s="1097"/>
      <c r="CL16" s="1097"/>
      <c r="CM16" s="1097"/>
      <c r="CN16" s="1097"/>
      <c r="CO16" s="1097"/>
      <c r="CP16" s="1097"/>
      <c r="CQ16" s="1097"/>
      <c r="CR16" s="1097"/>
      <c r="CS16" s="1097"/>
      <c r="CT16" s="1097"/>
      <c r="CU16" s="1097"/>
      <c r="CV16" s="1097"/>
      <c r="CW16" s="1097"/>
      <c r="CX16" s="1097"/>
      <c r="CY16" s="1097"/>
      <c r="CZ16" s="1097"/>
      <c r="DA16" s="1097"/>
      <c r="DB16" s="1097"/>
      <c r="DC16" s="1097"/>
      <c r="DD16" s="1097"/>
      <c r="DE16" s="1097"/>
      <c r="DF16" s="1097"/>
      <c r="DG16" s="1097"/>
      <c r="DH16" s="1097"/>
      <c r="DI16" s="1097"/>
      <c r="DJ16" s="1097"/>
      <c r="DK16" s="1097"/>
      <c r="DL16" s="1097"/>
      <c r="DM16" s="1097"/>
      <c r="DN16" s="1097"/>
      <c r="DO16" s="1097"/>
      <c r="DP16" s="1097"/>
      <c r="DQ16" s="1097"/>
      <c r="DR16" s="1097"/>
      <c r="DS16" s="1097"/>
      <c r="DT16" s="1097"/>
      <c r="DU16" s="1097"/>
      <c r="DV16" s="1097"/>
      <c r="DW16" s="1097"/>
      <c r="DX16" s="1097"/>
      <c r="DY16" s="1097"/>
      <c r="DZ16" s="1097"/>
      <c r="EA16" s="1097"/>
      <c r="EB16" s="1097"/>
      <c r="EC16" s="1097"/>
      <c r="ED16" s="1097"/>
      <c r="EE16" s="1097"/>
      <c r="EF16" s="1097"/>
      <c r="EG16" s="1097"/>
      <c r="EH16" s="1097"/>
      <c r="EI16" s="1097"/>
      <c r="EJ16" s="1097"/>
      <c r="EK16" s="1097"/>
      <c r="EL16" s="1097"/>
      <c r="EM16" s="1097"/>
      <c r="EN16" s="1097"/>
      <c r="EO16" s="1097"/>
      <c r="EP16" s="1097"/>
      <c r="EQ16" s="1097"/>
      <c r="ER16" s="1097"/>
      <c r="ES16" s="1097"/>
      <c r="ET16" s="1097"/>
      <c r="EU16" s="1097"/>
      <c r="EV16" s="1097"/>
      <c r="EW16" s="1097"/>
      <c r="EX16" s="1097"/>
      <c r="EY16" s="1097"/>
      <c r="EZ16" s="1097"/>
      <c r="FA16" s="1097"/>
      <c r="FB16" s="1097"/>
      <c r="FC16" s="1097"/>
      <c r="FD16" s="1097"/>
      <c r="FE16" s="1097"/>
      <c r="FF16" s="1097"/>
      <c r="FG16" s="1097"/>
      <c r="FH16" s="1097"/>
      <c r="FI16" s="1097"/>
      <c r="FJ16" s="1097"/>
      <c r="FK16" s="1097"/>
      <c r="FL16" s="1097"/>
      <c r="FM16" s="1097"/>
      <c r="FN16" s="1097"/>
      <c r="FO16" s="1097"/>
      <c r="FP16" s="1097"/>
      <c r="FQ16" s="1097"/>
      <c r="FR16" s="1097"/>
      <c r="FS16" s="1097"/>
      <c r="FT16" s="1097"/>
      <c r="FU16" s="1097"/>
      <c r="FV16" s="1097"/>
      <c r="FW16" s="1097"/>
      <c r="FX16" s="1097"/>
      <c r="FY16" s="1097"/>
      <c r="FZ16" s="1097"/>
      <c r="GA16" s="1097"/>
      <c r="GB16" s="1097"/>
      <c r="GC16" s="1097"/>
      <c r="GD16" s="1097"/>
      <c r="GE16" s="1097"/>
      <c r="GF16" s="1097"/>
      <c r="GG16" s="1097"/>
      <c r="GH16" s="1097"/>
      <c r="GI16" s="1097"/>
      <c r="GJ16" s="1097"/>
      <c r="GK16" s="1097"/>
      <c r="GL16" s="1097"/>
      <c r="GM16" s="1097"/>
      <c r="GN16" s="1097"/>
      <c r="GO16" s="1097"/>
      <c r="GP16" s="1097"/>
      <c r="GQ16" s="1097"/>
      <c r="GR16" s="1097"/>
      <c r="GS16" s="1097"/>
      <c r="GT16" s="1097"/>
      <c r="GU16" s="1097"/>
      <c r="GV16" s="1097"/>
      <c r="GW16" s="1097"/>
      <c r="GX16" s="1097"/>
      <c r="GY16" s="1097"/>
      <c r="GZ16" s="1097"/>
      <c r="HA16" s="1097"/>
      <c r="HB16" s="1097"/>
      <c r="HC16" s="1097"/>
      <c r="HD16" s="1097"/>
      <c r="HE16" s="1097"/>
      <c r="HF16" s="1097"/>
      <c r="HG16" s="1097"/>
      <c r="HH16" s="1097"/>
      <c r="HI16" s="1097"/>
      <c r="HJ16" s="1097"/>
      <c r="HK16" s="1097"/>
      <c r="HL16" s="1097"/>
      <c r="HM16" s="1097"/>
      <c r="HN16" s="1097"/>
      <c r="HO16" s="1097"/>
      <c r="HP16" s="1097"/>
      <c r="HQ16" s="1097"/>
      <c r="HR16" s="1097"/>
      <c r="HS16" s="1097"/>
      <c r="HT16" s="1097"/>
      <c r="HU16" s="1097"/>
      <c r="HV16" s="1097"/>
      <c r="HW16" s="1097"/>
      <c r="HX16" s="1097"/>
      <c r="HY16" s="1097"/>
      <c r="HZ16" s="1097"/>
      <c r="IA16" s="1097"/>
      <c r="IB16" s="1097"/>
      <c r="IC16" s="1097"/>
      <c r="ID16" s="1097"/>
      <c r="IE16" s="1097"/>
      <c r="IF16" s="1097"/>
      <c r="IG16" s="1097"/>
      <c r="IH16" s="1097"/>
      <c r="II16" s="1097"/>
      <c r="IJ16" s="1097"/>
      <c r="IK16" s="1097"/>
      <c r="IL16" s="1097"/>
      <c r="IM16" s="1097"/>
      <c r="IN16" s="1097"/>
      <c r="IO16" s="1097"/>
      <c r="IP16" s="1097"/>
      <c r="IQ16" s="1097"/>
      <c r="IR16" s="1097"/>
      <c r="IS16" s="1097"/>
      <c r="IT16" s="1097"/>
      <c r="IU16" s="1097"/>
      <c r="IV16" s="1097"/>
    </row>
    <row r="17" spans="1:256" customFormat="1"/>
    <row r="18" spans="1:256" s="1098" customFormat="1" ht="12.75" customHeight="1">
      <c r="A18" s="2239" t="s">
        <v>2588</v>
      </c>
      <c r="B18" s="2239"/>
      <c r="C18" s="2239"/>
      <c r="D18" s="2239"/>
      <c r="E18" s="2239"/>
      <c r="F18"/>
      <c r="G18" s="1097"/>
      <c r="H18" s="1097"/>
      <c r="I18" s="1097"/>
      <c r="J18" s="1097"/>
      <c r="K18" s="1097"/>
      <c r="L18" s="1097"/>
      <c r="M18" s="1097"/>
      <c r="N18" s="1097"/>
      <c r="O18" s="1097"/>
      <c r="P18" s="1097"/>
      <c r="Q18" s="1097"/>
      <c r="R18" s="1097"/>
      <c r="S18" s="1097"/>
      <c r="T18" s="1097"/>
      <c r="U18" s="1097"/>
      <c r="V18" s="1097"/>
      <c r="W18" s="1097"/>
      <c r="X18" s="1097"/>
      <c r="Y18" s="1097"/>
      <c r="Z18" s="1097"/>
      <c r="AA18" s="1097"/>
      <c r="AB18" s="1097"/>
      <c r="AC18" s="1097"/>
      <c r="AD18" s="1097"/>
      <c r="AE18" s="1097"/>
      <c r="AF18" s="1097"/>
      <c r="AG18" s="1097"/>
      <c r="AH18" s="1097"/>
      <c r="AI18" s="1097"/>
      <c r="AJ18" s="1097"/>
      <c r="AK18" s="1097"/>
      <c r="AL18" s="1097"/>
      <c r="AM18" s="1097"/>
      <c r="AN18" s="1097"/>
      <c r="AO18" s="1097"/>
      <c r="AP18" s="1097"/>
      <c r="AQ18" s="1097"/>
      <c r="AR18" s="1097"/>
      <c r="AS18" s="1097"/>
      <c r="AT18" s="1097"/>
      <c r="AU18" s="1097"/>
      <c r="AV18" s="1097"/>
      <c r="AW18" s="1097"/>
      <c r="AX18" s="1097"/>
      <c r="AY18" s="1097"/>
      <c r="AZ18" s="1097"/>
      <c r="BA18" s="1097"/>
      <c r="BB18" s="1097"/>
      <c r="BC18" s="1097"/>
      <c r="BD18" s="1097"/>
      <c r="BE18" s="1097"/>
      <c r="BF18" s="1097"/>
      <c r="BG18" s="1097"/>
      <c r="BH18" s="1097"/>
      <c r="BI18" s="1097"/>
      <c r="BJ18" s="1097"/>
      <c r="BK18" s="1097"/>
      <c r="BL18" s="1097"/>
      <c r="BM18" s="1097"/>
      <c r="BN18" s="1097"/>
      <c r="BO18" s="1097"/>
      <c r="BP18" s="1097"/>
      <c r="BQ18" s="1097"/>
      <c r="BR18" s="1097"/>
      <c r="BS18" s="1097"/>
      <c r="BT18" s="1097"/>
      <c r="BU18" s="1097"/>
      <c r="BV18" s="1097"/>
      <c r="BW18" s="1097"/>
      <c r="BX18" s="1097"/>
      <c r="BY18" s="1097"/>
      <c r="BZ18" s="1097"/>
      <c r="CA18" s="1097"/>
      <c r="CB18" s="1097"/>
      <c r="CC18" s="1097"/>
      <c r="CD18" s="1097"/>
      <c r="CE18" s="1097"/>
      <c r="CF18" s="1097"/>
      <c r="CG18" s="1097"/>
      <c r="CH18" s="1097"/>
      <c r="CI18" s="1097"/>
      <c r="CJ18" s="1097"/>
      <c r="CK18" s="1097"/>
      <c r="CL18" s="1097"/>
      <c r="CM18" s="1097"/>
      <c r="CN18" s="1097"/>
      <c r="CO18" s="1097"/>
      <c r="CP18" s="1097"/>
      <c r="CQ18" s="1097"/>
      <c r="CR18" s="1097"/>
      <c r="CS18" s="1097"/>
      <c r="CT18" s="1097"/>
      <c r="CU18" s="1097"/>
      <c r="CV18" s="1097"/>
      <c r="CW18" s="1097"/>
      <c r="CX18" s="1097"/>
      <c r="CY18" s="1097"/>
      <c r="CZ18" s="1097"/>
      <c r="DA18" s="1097"/>
      <c r="DB18" s="1097"/>
      <c r="DC18" s="1097"/>
      <c r="DD18" s="1097"/>
      <c r="DE18" s="1097"/>
      <c r="DF18" s="1097"/>
      <c r="DG18" s="1097"/>
      <c r="DH18" s="1097"/>
      <c r="DI18" s="1097"/>
      <c r="DJ18" s="1097"/>
      <c r="DK18" s="1097"/>
      <c r="DL18" s="1097"/>
      <c r="DM18" s="1097"/>
      <c r="DN18" s="1097"/>
      <c r="DO18" s="1097"/>
      <c r="DP18" s="1097"/>
      <c r="DQ18" s="1097"/>
      <c r="DR18" s="1097"/>
      <c r="DS18" s="1097"/>
      <c r="DT18" s="1097"/>
      <c r="DU18" s="1097"/>
      <c r="DV18" s="1097"/>
      <c r="DW18" s="1097"/>
      <c r="DX18" s="1097"/>
      <c r="DY18" s="1097"/>
      <c r="DZ18" s="1097"/>
      <c r="EA18" s="1097"/>
      <c r="EB18" s="1097"/>
      <c r="EC18" s="1097"/>
      <c r="ED18" s="1097"/>
      <c r="EE18" s="1097"/>
      <c r="EF18" s="1097"/>
      <c r="EG18" s="1097"/>
      <c r="EH18" s="1097"/>
      <c r="EI18" s="1097"/>
      <c r="EJ18" s="1097"/>
      <c r="EK18" s="1097"/>
      <c r="EL18" s="1097"/>
      <c r="EM18" s="1097"/>
      <c r="EN18" s="1097"/>
      <c r="EO18" s="1097"/>
      <c r="EP18" s="1097"/>
      <c r="EQ18" s="1097"/>
      <c r="ER18" s="1097"/>
      <c r="ES18" s="1097"/>
      <c r="ET18" s="1097"/>
      <c r="EU18" s="1097"/>
      <c r="EV18" s="1097"/>
      <c r="EW18" s="1097"/>
      <c r="EX18" s="1097"/>
      <c r="EY18" s="1097"/>
      <c r="EZ18" s="1097"/>
      <c r="FA18" s="1097"/>
      <c r="FB18" s="1097"/>
      <c r="FC18" s="1097"/>
      <c r="FD18" s="1097"/>
      <c r="FE18" s="1097"/>
      <c r="FF18" s="1097"/>
      <c r="FG18" s="1097"/>
      <c r="FH18" s="1097"/>
      <c r="FI18" s="1097"/>
      <c r="FJ18" s="1097"/>
      <c r="FK18" s="1097"/>
      <c r="FL18" s="1097"/>
      <c r="FM18" s="1097"/>
      <c r="FN18" s="1097"/>
      <c r="FO18" s="1097"/>
      <c r="FP18" s="1097"/>
      <c r="FQ18" s="1097"/>
      <c r="FR18" s="1097"/>
      <c r="FS18" s="1097"/>
      <c r="FT18" s="1097"/>
      <c r="FU18" s="1097"/>
      <c r="FV18" s="1097"/>
      <c r="FW18" s="1097"/>
      <c r="FX18" s="1097"/>
      <c r="FY18" s="1097"/>
      <c r="FZ18" s="1097"/>
      <c r="GA18" s="1097"/>
      <c r="GB18" s="1097"/>
      <c r="GC18" s="1097"/>
      <c r="GD18" s="1097"/>
      <c r="GE18" s="1097"/>
      <c r="GF18" s="1097"/>
      <c r="GG18" s="1097"/>
      <c r="GH18" s="1097"/>
      <c r="GI18" s="1097"/>
      <c r="GJ18" s="1097"/>
      <c r="GK18" s="1097"/>
      <c r="GL18" s="1097"/>
      <c r="GM18" s="1097"/>
      <c r="GN18" s="1097"/>
      <c r="GO18" s="1097"/>
      <c r="GP18" s="1097"/>
      <c r="GQ18" s="1097"/>
      <c r="GR18" s="1097"/>
      <c r="GS18" s="1097"/>
      <c r="GT18" s="1097"/>
      <c r="GU18" s="1097"/>
      <c r="GV18" s="1097"/>
      <c r="GW18" s="1097"/>
      <c r="GX18" s="1097"/>
      <c r="GY18" s="1097"/>
      <c r="GZ18" s="1097"/>
      <c r="HA18" s="1097"/>
      <c r="HB18" s="1097"/>
      <c r="HC18" s="1097"/>
      <c r="HD18" s="1097"/>
      <c r="HE18" s="1097"/>
      <c r="HF18" s="1097"/>
      <c r="HG18" s="1097"/>
      <c r="HH18" s="1097"/>
      <c r="HI18" s="1097"/>
      <c r="HJ18" s="1097"/>
      <c r="HK18" s="1097"/>
      <c r="HL18" s="1097"/>
      <c r="HM18" s="1097"/>
      <c r="HN18" s="1097"/>
      <c r="HO18" s="1097"/>
      <c r="HP18" s="1097"/>
      <c r="HQ18" s="1097"/>
      <c r="HR18" s="1097"/>
      <c r="HS18" s="1097"/>
      <c r="HT18" s="1097"/>
      <c r="HU18" s="1097"/>
      <c r="HV18" s="1097"/>
      <c r="HW18" s="1097"/>
      <c r="HX18" s="1097"/>
      <c r="HY18" s="1097"/>
      <c r="HZ18" s="1097"/>
      <c r="IA18" s="1097"/>
      <c r="IB18" s="1097"/>
      <c r="IC18" s="1097"/>
      <c r="ID18" s="1097"/>
      <c r="IE18" s="1097"/>
      <c r="IF18" s="1097"/>
      <c r="IG18" s="1097"/>
      <c r="IH18" s="1097"/>
      <c r="II18" s="1097"/>
      <c r="IJ18" s="1097"/>
      <c r="IK18" s="1097"/>
      <c r="IL18" s="1097"/>
      <c r="IM18" s="1097"/>
      <c r="IN18" s="1097"/>
      <c r="IO18" s="1097"/>
      <c r="IP18" s="1097"/>
      <c r="IQ18" s="1097"/>
      <c r="IR18" s="1097"/>
      <c r="IS18" s="1097"/>
      <c r="IT18" s="1097"/>
      <c r="IU18" s="1097"/>
      <c r="IV18" s="1097"/>
    </row>
    <row r="19" spans="1:256" customFormat="1" ht="12.75" customHeight="1"/>
    <row r="20" spans="1:256" s="1098" customFormat="1" ht="12.75" customHeight="1">
      <c r="A20" s="2244" t="s">
        <v>650</v>
      </c>
      <c r="B20" s="2244"/>
      <c r="C20" s="1091"/>
      <c r="D20" s="1091"/>
      <c r="E20" s="1091"/>
      <c r="F20"/>
      <c r="G20" s="1097"/>
      <c r="H20" s="1097"/>
      <c r="I20" s="1097"/>
      <c r="J20" s="1097"/>
      <c r="K20" s="1097"/>
      <c r="L20" s="1097"/>
      <c r="M20" s="1097"/>
      <c r="N20" s="1097"/>
      <c r="O20" s="1097"/>
      <c r="P20" s="1097"/>
      <c r="Q20" s="1097"/>
      <c r="R20" s="1097"/>
      <c r="S20" s="1097"/>
      <c r="T20" s="1097"/>
      <c r="U20" s="1097"/>
      <c r="V20" s="1097"/>
      <c r="W20" s="1097"/>
      <c r="X20" s="1097"/>
      <c r="Y20" s="1097"/>
      <c r="Z20" s="1097"/>
      <c r="AA20" s="1097"/>
      <c r="AB20" s="1097"/>
      <c r="AC20" s="1097"/>
      <c r="AD20" s="1097"/>
      <c r="AE20" s="1097"/>
      <c r="AF20" s="1097"/>
      <c r="AG20" s="1097"/>
      <c r="AH20" s="1097"/>
      <c r="AI20" s="1097"/>
      <c r="AJ20" s="1097"/>
      <c r="AK20" s="1097"/>
      <c r="AL20" s="1097"/>
      <c r="AM20" s="1097"/>
      <c r="AN20" s="1097"/>
      <c r="AO20" s="1097"/>
      <c r="AP20" s="1097"/>
      <c r="AQ20" s="1097"/>
      <c r="AR20" s="1097"/>
      <c r="AS20" s="1097"/>
      <c r="AT20" s="1097"/>
      <c r="AU20" s="1097"/>
      <c r="AV20" s="1097"/>
      <c r="AW20" s="1097"/>
      <c r="AX20" s="1097"/>
      <c r="AY20" s="1097"/>
      <c r="AZ20" s="1097"/>
      <c r="BA20" s="1097"/>
      <c r="BB20" s="1097"/>
      <c r="BC20" s="1097"/>
      <c r="BD20" s="1097"/>
      <c r="BE20" s="1097"/>
      <c r="BF20" s="1097"/>
      <c r="BG20" s="1097"/>
      <c r="BH20" s="1097"/>
      <c r="BI20" s="1097"/>
      <c r="BJ20" s="1097"/>
      <c r="BK20" s="1097"/>
      <c r="BL20" s="1097"/>
      <c r="BM20" s="1097"/>
      <c r="BN20" s="1097"/>
      <c r="BO20" s="1097"/>
      <c r="BP20" s="1097"/>
      <c r="BQ20" s="1097"/>
      <c r="BR20" s="1097"/>
      <c r="BS20" s="1097"/>
      <c r="BT20" s="1097"/>
      <c r="BU20" s="1097"/>
      <c r="BV20" s="1097"/>
      <c r="BW20" s="1097"/>
      <c r="BX20" s="1097"/>
      <c r="BY20" s="1097"/>
      <c r="BZ20" s="1097"/>
      <c r="CA20" s="1097"/>
      <c r="CB20" s="1097"/>
      <c r="CC20" s="1097"/>
      <c r="CD20" s="1097"/>
      <c r="CE20" s="1097"/>
      <c r="CF20" s="1097"/>
      <c r="CG20" s="1097"/>
      <c r="CH20" s="1097"/>
      <c r="CI20" s="1097"/>
      <c r="CJ20" s="1097"/>
      <c r="CK20" s="1097"/>
      <c r="CL20" s="1097"/>
      <c r="CM20" s="1097"/>
      <c r="CN20" s="1097"/>
      <c r="CO20" s="1097"/>
      <c r="CP20" s="1097"/>
      <c r="CQ20" s="1097"/>
      <c r="CR20" s="1097"/>
      <c r="CS20" s="1097"/>
      <c r="CT20" s="1097"/>
      <c r="CU20" s="1097"/>
      <c r="CV20" s="1097"/>
      <c r="CW20" s="1097"/>
      <c r="CX20" s="1097"/>
      <c r="CY20" s="1097"/>
      <c r="CZ20" s="1097"/>
      <c r="DA20" s="1097"/>
      <c r="DB20" s="1097"/>
      <c r="DC20" s="1097"/>
      <c r="DD20" s="1097"/>
      <c r="DE20" s="1097"/>
      <c r="DF20" s="1097"/>
      <c r="DG20" s="1097"/>
      <c r="DH20" s="1097"/>
      <c r="DI20" s="1097"/>
      <c r="DJ20" s="1097"/>
      <c r="DK20" s="1097"/>
      <c r="DL20" s="1097"/>
      <c r="DM20" s="1097"/>
      <c r="DN20" s="1097"/>
      <c r="DO20" s="1097"/>
      <c r="DP20" s="1097"/>
      <c r="DQ20" s="1097"/>
      <c r="DR20" s="1097"/>
      <c r="DS20" s="1097"/>
      <c r="DT20" s="1097"/>
      <c r="DU20" s="1097"/>
      <c r="DV20" s="1097"/>
      <c r="DW20" s="1097"/>
      <c r="DX20" s="1097"/>
      <c r="DY20" s="1097"/>
      <c r="DZ20" s="1097"/>
      <c r="EA20" s="1097"/>
      <c r="EB20" s="1097"/>
      <c r="EC20" s="1097"/>
      <c r="ED20" s="1097"/>
      <c r="EE20" s="1097"/>
      <c r="EF20" s="1097"/>
      <c r="EG20" s="1097"/>
      <c r="EH20" s="1097"/>
      <c r="EI20" s="1097"/>
      <c r="EJ20" s="1097"/>
      <c r="EK20" s="1097"/>
      <c r="EL20" s="1097"/>
      <c r="EM20" s="1097"/>
      <c r="EN20" s="1097"/>
      <c r="EO20" s="1097"/>
      <c r="EP20" s="1097"/>
      <c r="EQ20" s="1097"/>
      <c r="ER20" s="1097"/>
      <c r="ES20" s="1097"/>
      <c r="ET20" s="1097"/>
      <c r="EU20" s="1097"/>
      <c r="EV20" s="1097"/>
      <c r="EW20" s="1097"/>
      <c r="EX20" s="1097"/>
      <c r="EY20" s="1097"/>
      <c r="EZ20" s="1097"/>
      <c r="FA20" s="1097"/>
      <c r="FB20" s="1097"/>
      <c r="FC20" s="1097"/>
      <c r="FD20" s="1097"/>
      <c r="FE20" s="1097"/>
      <c r="FF20" s="1097"/>
      <c r="FG20" s="1097"/>
      <c r="FH20" s="1097"/>
      <c r="FI20" s="1097"/>
      <c r="FJ20" s="1097"/>
      <c r="FK20" s="1097"/>
      <c r="FL20" s="1097"/>
      <c r="FM20" s="1097"/>
      <c r="FN20" s="1097"/>
      <c r="FO20" s="1097"/>
      <c r="FP20" s="1097"/>
      <c r="FQ20" s="1097"/>
      <c r="FR20" s="1097"/>
      <c r="FS20" s="1097"/>
      <c r="FT20" s="1097"/>
      <c r="FU20" s="1097"/>
      <c r="FV20" s="1097"/>
      <c r="FW20" s="1097"/>
      <c r="FX20" s="1097"/>
      <c r="FY20" s="1097"/>
      <c r="FZ20" s="1097"/>
      <c r="GA20" s="1097"/>
      <c r="GB20" s="1097"/>
      <c r="GC20" s="1097"/>
      <c r="GD20" s="1097"/>
      <c r="GE20" s="1097"/>
      <c r="GF20" s="1097"/>
      <c r="GG20" s="1097"/>
      <c r="GH20" s="1097"/>
      <c r="GI20" s="1097"/>
      <c r="GJ20" s="1097"/>
      <c r="GK20" s="1097"/>
      <c r="GL20" s="1097"/>
      <c r="GM20" s="1097"/>
      <c r="GN20" s="1097"/>
      <c r="GO20" s="1097"/>
      <c r="GP20" s="1097"/>
      <c r="GQ20" s="1097"/>
      <c r="GR20" s="1097"/>
      <c r="GS20" s="1097"/>
      <c r="GT20" s="1097"/>
      <c r="GU20" s="1097"/>
      <c r="GV20" s="1097"/>
      <c r="GW20" s="1097"/>
      <c r="GX20" s="1097"/>
      <c r="GY20" s="1097"/>
      <c r="GZ20" s="1097"/>
      <c r="HA20" s="1097"/>
      <c r="HB20" s="1097"/>
      <c r="HC20" s="1097"/>
      <c r="HD20" s="1097"/>
      <c r="HE20" s="1097"/>
      <c r="HF20" s="1097"/>
      <c r="HG20" s="1097"/>
      <c r="HH20" s="1097"/>
      <c r="HI20" s="1097"/>
      <c r="HJ20" s="1097"/>
      <c r="HK20" s="1097"/>
      <c r="HL20" s="1097"/>
      <c r="HM20" s="1097"/>
      <c r="HN20" s="1097"/>
      <c r="HO20" s="1097"/>
      <c r="HP20" s="1097"/>
      <c r="HQ20" s="1097"/>
      <c r="HR20" s="1097"/>
      <c r="HS20" s="1097"/>
      <c r="HT20" s="1097"/>
      <c r="HU20" s="1097"/>
      <c r="HV20" s="1097"/>
      <c r="HW20" s="1097"/>
      <c r="HX20" s="1097"/>
      <c r="HY20" s="1097"/>
      <c r="HZ20" s="1097"/>
      <c r="IA20" s="1097"/>
      <c r="IB20" s="1097"/>
      <c r="IC20" s="1097"/>
      <c r="ID20" s="1097"/>
      <c r="IE20" s="1097"/>
      <c r="IF20" s="1097"/>
      <c r="IG20" s="1097"/>
      <c r="IH20" s="1097"/>
      <c r="II20" s="1097"/>
      <c r="IJ20" s="1097"/>
      <c r="IK20" s="1097"/>
      <c r="IL20" s="1097"/>
      <c r="IM20" s="1097"/>
      <c r="IN20" s="1097"/>
      <c r="IO20" s="1097"/>
      <c r="IP20" s="1097"/>
      <c r="IQ20" s="1097"/>
      <c r="IR20" s="1097"/>
      <c r="IS20" s="1097"/>
      <c r="IT20" s="1097"/>
      <c r="IU20" s="1097"/>
      <c r="IV20" s="1097"/>
    </row>
    <row r="21" spans="1:256" s="1098" customFormat="1" ht="12.75" customHeight="1">
      <c r="A21" s="2264" t="s">
        <v>200</v>
      </c>
      <c r="B21" s="2265"/>
      <c r="C21" s="2265"/>
      <c r="D21" s="2265"/>
      <c r="E21" s="2265"/>
      <c r="F21"/>
      <c r="G21" s="1097"/>
      <c r="H21" s="1097"/>
      <c r="I21" s="1097"/>
      <c r="J21" s="1097"/>
      <c r="K21" s="1097"/>
      <c r="L21" s="1097"/>
      <c r="M21" s="1097"/>
      <c r="N21" s="1097"/>
      <c r="O21" s="1097"/>
      <c r="P21" s="1097"/>
      <c r="Q21" s="1097"/>
      <c r="R21" s="1097"/>
      <c r="S21" s="1097"/>
      <c r="T21" s="1097"/>
      <c r="U21" s="1097"/>
      <c r="V21" s="1097"/>
      <c r="W21" s="1097"/>
      <c r="X21" s="1097"/>
      <c r="Y21" s="1097"/>
      <c r="Z21" s="1097"/>
      <c r="AA21" s="1097"/>
      <c r="AB21" s="1097"/>
      <c r="AC21" s="1097"/>
      <c r="AD21" s="1097"/>
      <c r="AE21" s="1097"/>
      <c r="AF21" s="1097"/>
      <c r="AG21" s="1097"/>
      <c r="AH21" s="1097"/>
      <c r="AI21" s="1097"/>
      <c r="AJ21" s="1097"/>
      <c r="AK21" s="1097"/>
      <c r="AL21" s="1097"/>
      <c r="AM21" s="1097"/>
      <c r="AN21" s="1097"/>
      <c r="AO21" s="1097"/>
      <c r="AP21" s="1097"/>
      <c r="AQ21" s="1097"/>
      <c r="AR21" s="1097"/>
      <c r="AS21" s="1097"/>
      <c r="AT21" s="1097"/>
      <c r="AU21" s="1097"/>
      <c r="AV21" s="1097"/>
      <c r="AW21" s="1097"/>
      <c r="AX21" s="1097"/>
      <c r="AY21" s="1097"/>
      <c r="AZ21" s="1097"/>
      <c r="BA21" s="1097"/>
      <c r="BB21" s="1097"/>
      <c r="BC21" s="1097"/>
      <c r="BD21" s="1097"/>
      <c r="BE21" s="1097"/>
      <c r="BF21" s="1097"/>
      <c r="BG21" s="1097"/>
      <c r="BH21" s="1097"/>
      <c r="BI21" s="1097"/>
      <c r="BJ21" s="1097"/>
      <c r="BK21" s="1097"/>
      <c r="BL21" s="1097"/>
      <c r="BM21" s="1097"/>
      <c r="BN21" s="1097"/>
      <c r="BO21" s="1097"/>
      <c r="BP21" s="1097"/>
      <c r="BQ21" s="1097"/>
      <c r="BR21" s="1097"/>
      <c r="BS21" s="1097"/>
      <c r="BT21" s="1097"/>
      <c r="BU21" s="1097"/>
      <c r="BV21" s="1097"/>
      <c r="BW21" s="1097"/>
      <c r="BX21" s="1097"/>
      <c r="BY21" s="1097"/>
      <c r="BZ21" s="1097"/>
      <c r="CA21" s="1097"/>
      <c r="CB21" s="1097"/>
      <c r="CC21" s="1097"/>
      <c r="CD21" s="1097"/>
      <c r="CE21" s="1097"/>
      <c r="CF21" s="1097"/>
      <c r="CG21" s="1097"/>
      <c r="CH21" s="1097"/>
      <c r="CI21" s="1097"/>
      <c r="CJ21" s="1097"/>
      <c r="CK21" s="1097"/>
      <c r="CL21" s="1097"/>
      <c r="CM21" s="1097"/>
      <c r="CN21" s="1097"/>
      <c r="CO21" s="1097"/>
      <c r="CP21" s="1097"/>
      <c r="CQ21" s="1097"/>
      <c r="CR21" s="1097"/>
      <c r="CS21" s="1097"/>
      <c r="CT21" s="1097"/>
      <c r="CU21" s="1097"/>
      <c r="CV21" s="1097"/>
      <c r="CW21" s="1097"/>
      <c r="CX21" s="1097"/>
      <c r="CY21" s="1097"/>
      <c r="CZ21" s="1097"/>
      <c r="DA21" s="1097"/>
      <c r="DB21" s="1097"/>
      <c r="DC21" s="1097"/>
      <c r="DD21" s="1097"/>
      <c r="DE21" s="1097"/>
      <c r="DF21" s="1097"/>
      <c r="DG21" s="1097"/>
      <c r="DH21" s="1097"/>
      <c r="DI21" s="1097"/>
      <c r="DJ21" s="1097"/>
      <c r="DK21" s="1097"/>
      <c r="DL21" s="1097"/>
      <c r="DM21" s="1097"/>
      <c r="DN21" s="1097"/>
      <c r="DO21" s="1097"/>
      <c r="DP21" s="1097"/>
      <c r="DQ21" s="1097"/>
      <c r="DR21" s="1097"/>
      <c r="DS21" s="1097"/>
      <c r="DT21" s="1097"/>
      <c r="DU21" s="1097"/>
      <c r="DV21" s="1097"/>
      <c r="DW21" s="1097"/>
      <c r="DX21" s="1097"/>
      <c r="DY21" s="1097"/>
      <c r="DZ21" s="1097"/>
      <c r="EA21" s="1097"/>
      <c r="EB21" s="1097"/>
      <c r="EC21" s="1097"/>
      <c r="ED21" s="1097"/>
      <c r="EE21" s="1097"/>
      <c r="EF21" s="1097"/>
      <c r="EG21" s="1097"/>
      <c r="EH21" s="1097"/>
      <c r="EI21" s="1097"/>
      <c r="EJ21" s="1097"/>
      <c r="EK21" s="1097"/>
      <c r="EL21" s="1097"/>
      <c r="EM21" s="1097"/>
      <c r="EN21" s="1097"/>
      <c r="EO21" s="1097"/>
      <c r="EP21" s="1097"/>
      <c r="EQ21" s="1097"/>
      <c r="ER21" s="1097"/>
      <c r="ES21" s="1097"/>
      <c r="ET21" s="1097"/>
      <c r="EU21" s="1097"/>
      <c r="EV21" s="1097"/>
      <c r="EW21" s="1097"/>
      <c r="EX21" s="1097"/>
      <c r="EY21" s="1097"/>
      <c r="EZ21" s="1097"/>
      <c r="FA21" s="1097"/>
      <c r="FB21" s="1097"/>
      <c r="FC21" s="1097"/>
      <c r="FD21" s="1097"/>
      <c r="FE21" s="1097"/>
      <c r="FF21" s="1097"/>
      <c r="FG21" s="1097"/>
      <c r="FH21" s="1097"/>
      <c r="FI21" s="1097"/>
      <c r="FJ21" s="1097"/>
      <c r="FK21" s="1097"/>
      <c r="FL21" s="1097"/>
      <c r="FM21" s="1097"/>
      <c r="FN21" s="1097"/>
      <c r="FO21" s="1097"/>
      <c r="FP21" s="1097"/>
      <c r="FQ21" s="1097"/>
      <c r="FR21" s="1097"/>
      <c r="FS21" s="1097"/>
      <c r="FT21" s="1097"/>
      <c r="FU21" s="1097"/>
      <c r="FV21" s="1097"/>
      <c r="FW21" s="1097"/>
      <c r="FX21" s="1097"/>
      <c r="FY21" s="1097"/>
      <c r="FZ21" s="1097"/>
      <c r="GA21" s="1097"/>
      <c r="GB21" s="1097"/>
      <c r="GC21" s="1097"/>
      <c r="GD21" s="1097"/>
      <c r="GE21" s="1097"/>
      <c r="GF21" s="1097"/>
      <c r="GG21" s="1097"/>
      <c r="GH21" s="1097"/>
      <c r="GI21" s="1097"/>
      <c r="GJ21" s="1097"/>
      <c r="GK21" s="1097"/>
      <c r="GL21" s="1097"/>
      <c r="GM21" s="1097"/>
      <c r="GN21" s="1097"/>
      <c r="GO21" s="1097"/>
      <c r="GP21" s="1097"/>
      <c r="GQ21" s="1097"/>
      <c r="GR21" s="1097"/>
      <c r="GS21" s="1097"/>
      <c r="GT21" s="1097"/>
      <c r="GU21" s="1097"/>
      <c r="GV21" s="1097"/>
      <c r="GW21" s="1097"/>
      <c r="GX21" s="1097"/>
      <c r="GY21" s="1097"/>
      <c r="GZ21" s="1097"/>
      <c r="HA21" s="1097"/>
      <c r="HB21" s="1097"/>
      <c r="HC21" s="1097"/>
      <c r="HD21" s="1097"/>
      <c r="HE21" s="1097"/>
      <c r="HF21" s="1097"/>
      <c r="HG21" s="1097"/>
      <c r="HH21" s="1097"/>
      <c r="HI21" s="1097"/>
      <c r="HJ21" s="1097"/>
      <c r="HK21" s="1097"/>
      <c r="HL21" s="1097"/>
      <c r="HM21" s="1097"/>
      <c r="HN21" s="1097"/>
      <c r="HO21" s="1097"/>
      <c r="HP21" s="1097"/>
      <c r="HQ21" s="1097"/>
      <c r="HR21" s="1097"/>
      <c r="HS21" s="1097"/>
      <c r="HT21" s="1097"/>
      <c r="HU21" s="1097"/>
      <c r="HV21" s="1097"/>
      <c r="HW21" s="1097"/>
      <c r="HX21" s="1097"/>
      <c r="HY21" s="1097"/>
      <c r="HZ21" s="1097"/>
      <c r="IA21" s="1097"/>
      <c r="IB21" s="1097"/>
      <c r="IC21" s="1097"/>
      <c r="ID21" s="1097"/>
      <c r="IE21" s="1097"/>
      <c r="IF21" s="1097"/>
      <c r="IG21" s="1097"/>
      <c r="IH21" s="1097"/>
      <c r="II21" s="1097"/>
      <c r="IJ21" s="1097"/>
      <c r="IK21" s="1097"/>
      <c r="IL21" s="1097"/>
      <c r="IM21" s="1097"/>
      <c r="IN21" s="1097"/>
      <c r="IO21" s="1097"/>
      <c r="IP21" s="1097"/>
      <c r="IQ21" s="1097"/>
      <c r="IR21" s="1097"/>
      <c r="IS21" s="1097"/>
      <c r="IT21" s="1097"/>
      <c r="IU21" s="1097"/>
      <c r="IV21" s="1097"/>
    </row>
    <row r="22" spans="1:256" s="1098" customFormat="1" ht="12.75" customHeight="1">
      <c r="A22" s="2260" t="s">
        <v>201</v>
      </c>
      <c r="B22" s="2265"/>
      <c r="C22" s="2265"/>
      <c r="D22" s="2265"/>
      <c r="E22" s="2265"/>
      <c r="F22"/>
      <c r="G22" s="1097"/>
      <c r="H22" s="1097"/>
      <c r="I22" s="1097"/>
      <c r="J22" s="1097"/>
      <c r="K22" s="1097"/>
      <c r="L22" s="1097"/>
      <c r="M22" s="1097"/>
      <c r="N22" s="1097"/>
      <c r="O22" s="1097"/>
      <c r="P22" s="1097"/>
      <c r="Q22" s="1097"/>
      <c r="R22" s="1097"/>
      <c r="S22" s="1097"/>
      <c r="T22" s="1097"/>
      <c r="U22" s="1097"/>
      <c r="V22" s="1097"/>
      <c r="W22" s="1097"/>
      <c r="X22" s="1097"/>
      <c r="Y22" s="1097"/>
      <c r="Z22" s="1097"/>
      <c r="AA22" s="1097"/>
      <c r="AB22" s="1097"/>
      <c r="AC22" s="1097"/>
      <c r="AD22" s="1097"/>
      <c r="AE22" s="1097"/>
      <c r="AF22" s="1097"/>
      <c r="AG22" s="1097"/>
      <c r="AH22" s="1097"/>
      <c r="AI22" s="1097"/>
      <c r="AJ22" s="1097"/>
      <c r="AK22" s="1097"/>
      <c r="AL22" s="1097"/>
      <c r="AM22" s="1097"/>
      <c r="AN22" s="1097"/>
      <c r="AO22" s="1097"/>
      <c r="AP22" s="1097"/>
      <c r="AQ22" s="1097"/>
      <c r="AR22" s="1097"/>
      <c r="AS22" s="1097"/>
      <c r="AT22" s="1097"/>
      <c r="AU22" s="1097"/>
      <c r="AV22" s="1097"/>
      <c r="AW22" s="1097"/>
      <c r="AX22" s="1097"/>
      <c r="AY22" s="1097"/>
      <c r="AZ22" s="1097"/>
      <c r="BA22" s="1097"/>
      <c r="BB22" s="1097"/>
      <c r="BC22" s="1097"/>
      <c r="BD22" s="1097"/>
      <c r="BE22" s="1097"/>
      <c r="BF22" s="1097"/>
      <c r="BG22" s="1097"/>
      <c r="BH22" s="1097"/>
      <c r="BI22" s="1097"/>
      <c r="BJ22" s="1097"/>
      <c r="BK22" s="1097"/>
      <c r="BL22" s="1097"/>
      <c r="BM22" s="1097"/>
      <c r="BN22" s="1097"/>
      <c r="BO22" s="1097"/>
      <c r="BP22" s="1097"/>
      <c r="BQ22" s="1097"/>
      <c r="BR22" s="1097"/>
      <c r="BS22" s="1097"/>
      <c r="BT22" s="1097"/>
      <c r="BU22" s="1097"/>
      <c r="BV22" s="1097"/>
      <c r="BW22" s="1097"/>
      <c r="BX22" s="1097"/>
      <c r="BY22" s="1097"/>
      <c r="BZ22" s="1097"/>
      <c r="CA22" s="1097"/>
      <c r="CB22" s="1097"/>
      <c r="CC22" s="1097"/>
      <c r="CD22" s="1097"/>
      <c r="CE22" s="1097"/>
      <c r="CF22" s="1097"/>
      <c r="CG22" s="1097"/>
      <c r="CH22" s="1097"/>
      <c r="CI22" s="1097"/>
      <c r="CJ22" s="1097"/>
      <c r="CK22" s="1097"/>
      <c r="CL22" s="1097"/>
      <c r="CM22" s="1097"/>
      <c r="CN22" s="1097"/>
      <c r="CO22" s="1097"/>
      <c r="CP22" s="1097"/>
      <c r="CQ22" s="1097"/>
      <c r="CR22" s="1097"/>
      <c r="CS22" s="1097"/>
      <c r="CT22" s="1097"/>
      <c r="CU22" s="1097"/>
      <c r="CV22" s="1097"/>
      <c r="CW22" s="1097"/>
      <c r="CX22" s="1097"/>
      <c r="CY22" s="1097"/>
      <c r="CZ22" s="1097"/>
      <c r="DA22" s="1097"/>
      <c r="DB22" s="1097"/>
      <c r="DC22" s="1097"/>
      <c r="DD22" s="1097"/>
      <c r="DE22" s="1097"/>
      <c r="DF22" s="1097"/>
      <c r="DG22" s="1097"/>
      <c r="DH22" s="1097"/>
      <c r="DI22" s="1097"/>
      <c r="DJ22" s="1097"/>
      <c r="DK22" s="1097"/>
      <c r="DL22" s="1097"/>
      <c r="DM22" s="1097"/>
      <c r="DN22" s="1097"/>
      <c r="DO22" s="1097"/>
      <c r="DP22" s="1097"/>
      <c r="DQ22" s="1097"/>
      <c r="DR22" s="1097"/>
      <c r="DS22" s="1097"/>
      <c r="DT22" s="1097"/>
      <c r="DU22" s="1097"/>
      <c r="DV22" s="1097"/>
      <c r="DW22" s="1097"/>
      <c r="DX22" s="1097"/>
      <c r="DY22" s="1097"/>
      <c r="DZ22" s="1097"/>
      <c r="EA22" s="1097"/>
      <c r="EB22" s="1097"/>
      <c r="EC22" s="1097"/>
      <c r="ED22" s="1097"/>
      <c r="EE22" s="1097"/>
      <c r="EF22" s="1097"/>
      <c r="EG22" s="1097"/>
      <c r="EH22" s="1097"/>
      <c r="EI22" s="1097"/>
      <c r="EJ22" s="1097"/>
      <c r="EK22" s="1097"/>
      <c r="EL22" s="1097"/>
      <c r="EM22" s="1097"/>
      <c r="EN22" s="1097"/>
      <c r="EO22" s="1097"/>
      <c r="EP22" s="1097"/>
      <c r="EQ22" s="1097"/>
      <c r="ER22" s="1097"/>
      <c r="ES22" s="1097"/>
      <c r="ET22" s="1097"/>
      <c r="EU22" s="1097"/>
      <c r="EV22" s="1097"/>
      <c r="EW22" s="1097"/>
      <c r="EX22" s="1097"/>
      <c r="EY22" s="1097"/>
      <c r="EZ22" s="1097"/>
      <c r="FA22" s="1097"/>
      <c r="FB22" s="1097"/>
      <c r="FC22" s="1097"/>
      <c r="FD22" s="1097"/>
      <c r="FE22" s="1097"/>
      <c r="FF22" s="1097"/>
      <c r="FG22" s="1097"/>
      <c r="FH22" s="1097"/>
      <c r="FI22" s="1097"/>
      <c r="FJ22" s="1097"/>
      <c r="FK22" s="1097"/>
      <c r="FL22" s="1097"/>
      <c r="FM22" s="1097"/>
      <c r="FN22" s="1097"/>
      <c r="FO22" s="1097"/>
      <c r="FP22" s="1097"/>
      <c r="FQ22" s="1097"/>
      <c r="FR22" s="1097"/>
      <c r="FS22" s="1097"/>
      <c r="FT22" s="1097"/>
      <c r="FU22" s="1097"/>
      <c r="FV22" s="1097"/>
      <c r="FW22" s="1097"/>
      <c r="FX22" s="1097"/>
      <c r="FY22" s="1097"/>
      <c r="FZ22" s="1097"/>
      <c r="GA22" s="1097"/>
      <c r="GB22" s="1097"/>
      <c r="GC22" s="1097"/>
      <c r="GD22" s="1097"/>
      <c r="GE22" s="1097"/>
      <c r="GF22" s="1097"/>
      <c r="GG22" s="1097"/>
      <c r="GH22" s="1097"/>
      <c r="GI22" s="1097"/>
      <c r="GJ22" s="1097"/>
      <c r="GK22" s="1097"/>
      <c r="GL22" s="1097"/>
      <c r="GM22" s="1097"/>
      <c r="GN22" s="1097"/>
      <c r="GO22" s="1097"/>
      <c r="GP22" s="1097"/>
      <c r="GQ22" s="1097"/>
      <c r="GR22" s="1097"/>
      <c r="GS22" s="1097"/>
      <c r="GT22" s="1097"/>
      <c r="GU22" s="1097"/>
      <c r="GV22" s="1097"/>
      <c r="GW22" s="1097"/>
      <c r="GX22" s="1097"/>
      <c r="GY22" s="1097"/>
      <c r="GZ22" s="1097"/>
      <c r="HA22" s="1097"/>
      <c r="HB22" s="1097"/>
      <c r="HC22" s="1097"/>
      <c r="HD22" s="1097"/>
      <c r="HE22" s="1097"/>
      <c r="HF22" s="1097"/>
      <c r="HG22" s="1097"/>
      <c r="HH22" s="1097"/>
      <c r="HI22" s="1097"/>
      <c r="HJ22" s="1097"/>
      <c r="HK22" s="1097"/>
      <c r="HL22" s="1097"/>
      <c r="HM22" s="1097"/>
      <c r="HN22" s="1097"/>
      <c r="HO22" s="1097"/>
      <c r="HP22" s="1097"/>
      <c r="HQ22" s="1097"/>
      <c r="HR22" s="1097"/>
      <c r="HS22" s="1097"/>
      <c r="HT22" s="1097"/>
      <c r="HU22" s="1097"/>
      <c r="HV22" s="1097"/>
      <c r="HW22" s="1097"/>
      <c r="HX22" s="1097"/>
      <c r="HY22" s="1097"/>
      <c r="HZ22" s="1097"/>
      <c r="IA22" s="1097"/>
      <c r="IB22" s="1097"/>
      <c r="IC22" s="1097"/>
      <c r="ID22" s="1097"/>
      <c r="IE22" s="1097"/>
      <c r="IF22" s="1097"/>
      <c r="IG22" s="1097"/>
      <c r="IH22" s="1097"/>
      <c r="II22" s="1097"/>
      <c r="IJ22" s="1097"/>
      <c r="IK22" s="1097"/>
      <c r="IL22" s="1097"/>
      <c r="IM22" s="1097"/>
      <c r="IN22" s="1097"/>
      <c r="IO22" s="1097"/>
      <c r="IP22" s="1097"/>
      <c r="IQ22" s="1097"/>
      <c r="IR22" s="1097"/>
      <c r="IS22" s="1097"/>
      <c r="IT22" s="1097"/>
      <c r="IU22" s="1097"/>
      <c r="IV22" s="1097"/>
    </row>
    <row r="23" spans="1:256" s="1161" customFormat="1" ht="25.5" customHeight="1">
      <c r="A23" s="2264" t="s">
        <v>202</v>
      </c>
      <c r="B23" s="2259"/>
      <c r="C23" s="2259"/>
      <c r="D23" s="2259"/>
      <c r="E23" s="2259"/>
      <c r="F23"/>
    </row>
    <row r="24" spans="1:256" s="1098" customFormat="1" ht="38.450000000000003" customHeight="1">
      <c r="A24" s="2264" t="s">
        <v>203</v>
      </c>
      <c r="B24" s="2259"/>
      <c r="C24" s="2259"/>
      <c r="D24" s="2259"/>
      <c r="E24" s="2259"/>
      <c r="F24"/>
      <c r="G24" s="1097"/>
      <c r="H24" s="1097"/>
      <c r="I24" s="1097"/>
      <c r="J24" s="1097"/>
      <c r="K24" s="1097"/>
      <c r="L24" s="1097"/>
      <c r="M24" s="1097"/>
      <c r="N24" s="1097"/>
      <c r="O24" s="1097"/>
      <c r="P24" s="1097"/>
      <c r="Q24" s="1097"/>
      <c r="R24" s="1097"/>
      <c r="S24" s="1097"/>
      <c r="T24" s="1097"/>
      <c r="U24" s="1097"/>
      <c r="V24" s="1097"/>
      <c r="W24" s="1097"/>
      <c r="X24" s="1097"/>
      <c r="Y24" s="1097"/>
      <c r="Z24" s="1097"/>
      <c r="AA24" s="1097"/>
      <c r="AB24" s="1097"/>
      <c r="AC24" s="1097"/>
      <c r="AD24" s="1097"/>
      <c r="AE24" s="1097"/>
      <c r="AF24" s="1097"/>
      <c r="AG24" s="1097"/>
      <c r="AH24" s="1097"/>
      <c r="AI24" s="1097"/>
      <c r="AJ24" s="1097"/>
      <c r="AK24" s="1097"/>
      <c r="AL24" s="1097"/>
      <c r="AM24" s="1097"/>
      <c r="AN24" s="1097"/>
      <c r="AO24" s="1097"/>
      <c r="AP24" s="1097"/>
      <c r="AQ24" s="1097"/>
      <c r="AR24" s="1097"/>
      <c r="AS24" s="1097"/>
      <c r="AT24" s="1097"/>
      <c r="AU24" s="1097"/>
      <c r="AV24" s="1097"/>
      <c r="AW24" s="1097"/>
      <c r="AX24" s="1097"/>
      <c r="AY24" s="1097"/>
      <c r="AZ24" s="1097"/>
      <c r="BA24" s="1097"/>
      <c r="BB24" s="1097"/>
      <c r="BC24" s="1097"/>
      <c r="BD24" s="1097"/>
      <c r="BE24" s="1097"/>
      <c r="BF24" s="1097"/>
      <c r="BG24" s="1097"/>
      <c r="BH24" s="1097"/>
      <c r="BI24" s="1097"/>
      <c r="BJ24" s="1097"/>
      <c r="BK24" s="1097"/>
      <c r="BL24" s="1097"/>
      <c r="BM24" s="1097"/>
      <c r="BN24" s="1097"/>
      <c r="BO24" s="1097"/>
      <c r="BP24" s="1097"/>
      <c r="BQ24" s="1097"/>
      <c r="BR24" s="1097"/>
      <c r="BS24" s="1097"/>
      <c r="BT24" s="1097"/>
      <c r="BU24" s="1097"/>
      <c r="BV24" s="1097"/>
      <c r="BW24" s="1097"/>
      <c r="BX24" s="1097"/>
      <c r="BY24" s="1097"/>
      <c r="BZ24" s="1097"/>
      <c r="CA24" s="1097"/>
      <c r="CB24" s="1097"/>
      <c r="CC24" s="1097"/>
      <c r="CD24" s="1097"/>
      <c r="CE24" s="1097"/>
      <c r="CF24" s="1097"/>
      <c r="CG24" s="1097"/>
      <c r="CH24" s="1097"/>
      <c r="CI24" s="1097"/>
      <c r="CJ24" s="1097"/>
      <c r="CK24" s="1097"/>
      <c r="CL24" s="1097"/>
      <c r="CM24" s="1097"/>
      <c r="CN24" s="1097"/>
      <c r="CO24" s="1097"/>
      <c r="CP24" s="1097"/>
      <c r="CQ24" s="1097"/>
      <c r="CR24" s="1097"/>
      <c r="CS24" s="1097"/>
      <c r="CT24" s="1097"/>
      <c r="CU24" s="1097"/>
      <c r="CV24" s="1097"/>
      <c r="CW24" s="1097"/>
      <c r="CX24" s="1097"/>
      <c r="CY24" s="1097"/>
      <c r="CZ24" s="1097"/>
      <c r="DA24" s="1097"/>
      <c r="DB24" s="1097"/>
      <c r="DC24" s="1097"/>
      <c r="DD24" s="1097"/>
      <c r="DE24" s="1097"/>
      <c r="DF24" s="1097"/>
      <c r="DG24" s="1097"/>
      <c r="DH24" s="1097"/>
      <c r="DI24" s="1097"/>
      <c r="DJ24" s="1097"/>
      <c r="DK24" s="1097"/>
      <c r="DL24" s="1097"/>
      <c r="DM24" s="1097"/>
      <c r="DN24" s="1097"/>
      <c r="DO24" s="1097"/>
      <c r="DP24" s="1097"/>
      <c r="DQ24" s="1097"/>
      <c r="DR24" s="1097"/>
      <c r="DS24" s="1097"/>
      <c r="DT24" s="1097"/>
      <c r="DU24" s="1097"/>
      <c r="DV24" s="1097"/>
      <c r="DW24" s="1097"/>
      <c r="DX24" s="1097"/>
      <c r="DY24" s="1097"/>
      <c r="DZ24" s="1097"/>
      <c r="EA24" s="1097"/>
      <c r="EB24" s="1097"/>
      <c r="EC24" s="1097"/>
      <c r="ED24" s="1097"/>
      <c r="EE24" s="1097"/>
      <c r="EF24" s="1097"/>
      <c r="EG24" s="1097"/>
      <c r="EH24" s="1097"/>
      <c r="EI24" s="1097"/>
      <c r="EJ24" s="1097"/>
      <c r="EK24" s="1097"/>
      <c r="EL24" s="1097"/>
      <c r="EM24" s="1097"/>
      <c r="EN24" s="1097"/>
      <c r="EO24" s="1097"/>
      <c r="EP24" s="1097"/>
      <c r="EQ24" s="1097"/>
      <c r="ER24" s="1097"/>
      <c r="ES24" s="1097"/>
      <c r="ET24" s="1097"/>
      <c r="EU24" s="1097"/>
      <c r="EV24" s="1097"/>
      <c r="EW24" s="1097"/>
      <c r="EX24" s="1097"/>
      <c r="EY24" s="1097"/>
      <c r="EZ24" s="1097"/>
      <c r="FA24" s="1097"/>
      <c r="FB24" s="1097"/>
      <c r="FC24" s="1097"/>
      <c r="FD24" s="1097"/>
      <c r="FE24" s="1097"/>
      <c r="FF24" s="1097"/>
      <c r="FG24" s="1097"/>
      <c r="FH24" s="1097"/>
      <c r="FI24" s="1097"/>
      <c r="FJ24" s="1097"/>
      <c r="FK24" s="1097"/>
      <c r="FL24" s="1097"/>
      <c r="FM24" s="1097"/>
      <c r="FN24" s="1097"/>
      <c r="FO24" s="1097"/>
      <c r="FP24" s="1097"/>
      <c r="FQ24" s="1097"/>
      <c r="FR24" s="1097"/>
      <c r="FS24" s="1097"/>
      <c r="FT24" s="1097"/>
      <c r="FU24" s="1097"/>
      <c r="FV24" s="1097"/>
      <c r="FW24" s="1097"/>
      <c r="FX24" s="1097"/>
      <c r="FY24" s="1097"/>
      <c r="FZ24" s="1097"/>
      <c r="GA24" s="1097"/>
      <c r="GB24" s="1097"/>
      <c r="GC24" s="1097"/>
      <c r="GD24" s="1097"/>
      <c r="GE24" s="1097"/>
      <c r="GF24" s="1097"/>
      <c r="GG24" s="1097"/>
      <c r="GH24" s="1097"/>
      <c r="GI24" s="1097"/>
      <c r="GJ24" s="1097"/>
      <c r="GK24" s="1097"/>
      <c r="GL24" s="1097"/>
      <c r="GM24" s="1097"/>
      <c r="GN24" s="1097"/>
      <c r="GO24" s="1097"/>
      <c r="GP24" s="1097"/>
      <c r="GQ24" s="1097"/>
      <c r="GR24" s="1097"/>
      <c r="GS24" s="1097"/>
      <c r="GT24" s="1097"/>
      <c r="GU24" s="1097"/>
      <c r="GV24" s="1097"/>
      <c r="GW24" s="1097"/>
      <c r="GX24" s="1097"/>
      <c r="GY24" s="1097"/>
      <c r="GZ24" s="1097"/>
      <c r="HA24" s="1097"/>
      <c r="HB24" s="1097"/>
      <c r="HC24" s="1097"/>
      <c r="HD24" s="1097"/>
      <c r="HE24" s="1097"/>
      <c r="HF24" s="1097"/>
      <c r="HG24" s="1097"/>
      <c r="HH24" s="1097"/>
      <c r="HI24" s="1097"/>
      <c r="HJ24" s="1097"/>
      <c r="HK24" s="1097"/>
      <c r="HL24" s="1097"/>
      <c r="HM24" s="1097"/>
      <c r="HN24" s="1097"/>
      <c r="HO24" s="1097"/>
      <c r="HP24" s="1097"/>
      <c r="HQ24" s="1097"/>
      <c r="HR24" s="1097"/>
      <c r="HS24" s="1097"/>
      <c r="HT24" s="1097"/>
      <c r="HU24" s="1097"/>
      <c r="HV24" s="1097"/>
      <c r="HW24" s="1097"/>
      <c r="HX24" s="1097"/>
      <c r="HY24" s="1097"/>
      <c r="HZ24" s="1097"/>
      <c r="IA24" s="1097"/>
      <c r="IB24" s="1097"/>
      <c r="IC24" s="1097"/>
      <c r="ID24" s="1097"/>
      <c r="IE24" s="1097"/>
      <c r="IF24" s="1097"/>
      <c r="IG24" s="1097"/>
      <c r="IH24" s="1097"/>
      <c r="II24" s="1097"/>
      <c r="IJ24" s="1097"/>
      <c r="IK24" s="1097"/>
      <c r="IL24" s="1097"/>
      <c r="IM24" s="1097"/>
      <c r="IN24" s="1097"/>
      <c r="IO24" s="1097"/>
      <c r="IP24" s="1097"/>
      <c r="IQ24" s="1097"/>
      <c r="IR24" s="1097"/>
      <c r="IS24" s="1097"/>
      <c r="IT24" s="1097"/>
      <c r="IU24" s="1097"/>
      <c r="IV24" s="1097"/>
    </row>
    <row r="25" spans="1:256" customFormat="1" ht="12.75" customHeight="1"/>
    <row r="26" spans="1:256" customFormat="1"/>
    <row r="27" spans="1:256" ht="12.75" customHeight="1">
      <c r="A27" s="2266" t="s">
        <v>1309</v>
      </c>
      <c r="B27" s="2266"/>
      <c r="C27" s="2266"/>
      <c r="D27" s="2266"/>
      <c r="E27" s="2266"/>
    </row>
    <row r="28" spans="1:256" ht="28.15" customHeight="1">
      <c r="A28" s="2260" t="s">
        <v>204</v>
      </c>
      <c r="B28" s="2261"/>
      <c r="C28" s="2261"/>
      <c r="D28" s="2261"/>
      <c r="E28" s="2261"/>
    </row>
    <row r="29" spans="1:256" ht="28.35" customHeight="1">
      <c r="A29" s="2260" t="s">
        <v>2589</v>
      </c>
      <c r="B29" s="2261"/>
      <c r="C29" s="2261"/>
      <c r="D29" s="2261"/>
      <c r="E29" s="2261"/>
    </row>
    <row r="30" spans="1:256" ht="37.5" customHeight="1">
      <c r="A30" s="2258" t="s">
        <v>205</v>
      </c>
      <c r="B30" s="2259"/>
      <c r="C30" s="2259"/>
      <c r="D30" s="2259"/>
      <c r="E30" s="2259"/>
    </row>
    <row r="31" spans="1:256" ht="25.5" customHeight="1">
      <c r="A31" s="2258" t="s">
        <v>206</v>
      </c>
      <c r="B31" s="2259"/>
      <c r="C31" s="2259"/>
      <c r="D31" s="2259"/>
      <c r="E31" s="2259"/>
    </row>
    <row r="32" spans="1:256" ht="38.25" customHeight="1">
      <c r="A32" s="2259" t="s">
        <v>207</v>
      </c>
      <c r="B32" s="2259"/>
      <c r="C32" s="2259"/>
      <c r="D32" s="2259"/>
      <c r="E32" s="2259"/>
    </row>
    <row r="33" spans="1:256" ht="24.75" customHeight="1">
      <c r="A33" s="2260" t="s">
        <v>208</v>
      </c>
      <c r="B33" s="2261"/>
      <c r="C33" s="2261"/>
      <c r="D33" s="2261"/>
      <c r="E33" s="2261"/>
    </row>
    <row r="34" spans="1:256" customFormat="1" ht="12.75" customHeight="1"/>
    <row r="35" spans="1:256" customFormat="1"/>
    <row r="36" spans="1:256" ht="12.75" customHeight="1">
      <c r="A36" s="2244" t="s">
        <v>960</v>
      </c>
      <c r="B36" s="2244"/>
      <c r="C36" s="2244"/>
      <c r="D36" s="2244"/>
      <c r="E36" s="2244"/>
    </row>
    <row r="37" spans="1:256" customFormat="1"/>
    <row r="38" spans="1:256" s="1098" customFormat="1" ht="12.75" customHeight="1">
      <c r="A38" s="2239" t="s">
        <v>209</v>
      </c>
      <c r="B38" s="2239"/>
      <c r="C38" s="2239"/>
      <c r="D38" s="2239"/>
      <c r="E38" s="2239"/>
      <c r="F38"/>
      <c r="G38" s="1097"/>
      <c r="H38" s="1097"/>
      <c r="I38" s="1097"/>
      <c r="J38" s="1097"/>
      <c r="K38" s="1097"/>
      <c r="L38" s="1097"/>
      <c r="M38" s="1097"/>
      <c r="N38" s="1097"/>
      <c r="O38" s="1097"/>
      <c r="P38" s="1097"/>
      <c r="Q38" s="1097"/>
      <c r="R38" s="1097"/>
      <c r="S38" s="1097"/>
      <c r="T38" s="1097"/>
      <c r="U38" s="1097"/>
      <c r="V38" s="1097"/>
      <c r="W38" s="1097"/>
      <c r="X38" s="1097"/>
      <c r="Y38" s="1097"/>
      <c r="Z38" s="1097"/>
      <c r="AA38" s="1097"/>
      <c r="AB38" s="1097"/>
      <c r="AC38" s="1097"/>
      <c r="AD38" s="1097"/>
      <c r="AE38" s="1097"/>
      <c r="AF38" s="1097"/>
      <c r="AG38" s="1097"/>
      <c r="AH38" s="1097"/>
      <c r="AI38" s="1097"/>
      <c r="AJ38" s="1097"/>
      <c r="AK38" s="1097"/>
      <c r="AL38" s="1097"/>
      <c r="AM38" s="1097"/>
      <c r="AN38" s="1097"/>
      <c r="AO38" s="1097"/>
      <c r="AP38" s="1097"/>
      <c r="AQ38" s="1097"/>
      <c r="AR38" s="1097"/>
      <c r="AS38" s="1097"/>
      <c r="AT38" s="1097"/>
      <c r="AU38" s="1097"/>
      <c r="AV38" s="1097"/>
      <c r="AW38" s="1097"/>
      <c r="AX38" s="1097"/>
      <c r="AY38" s="1097"/>
      <c r="AZ38" s="1097"/>
      <c r="BA38" s="1097"/>
      <c r="BB38" s="1097"/>
      <c r="BC38" s="1097"/>
      <c r="BD38" s="1097"/>
      <c r="BE38" s="1097"/>
      <c r="BF38" s="1097"/>
      <c r="BG38" s="1097"/>
      <c r="BH38" s="1097"/>
      <c r="BI38" s="1097"/>
      <c r="BJ38" s="1097"/>
      <c r="BK38" s="1097"/>
      <c r="BL38" s="1097"/>
      <c r="BM38" s="1097"/>
      <c r="BN38" s="1097"/>
      <c r="BO38" s="1097"/>
      <c r="BP38" s="1097"/>
      <c r="BQ38" s="1097"/>
      <c r="BR38" s="1097"/>
      <c r="BS38" s="1097"/>
      <c r="BT38" s="1097"/>
      <c r="BU38" s="1097"/>
      <c r="BV38" s="1097"/>
      <c r="BW38" s="1097"/>
      <c r="BX38" s="1097"/>
      <c r="BY38" s="1097"/>
      <c r="BZ38" s="1097"/>
      <c r="CA38" s="1097"/>
      <c r="CB38" s="1097"/>
      <c r="CC38" s="1097"/>
      <c r="CD38" s="1097"/>
      <c r="CE38" s="1097"/>
      <c r="CF38" s="1097"/>
      <c r="CG38" s="1097"/>
      <c r="CH38" s="1097"/>
      <c r="CI38" s="1097"/>
      <c r="CJ38" s="1097"/>
      <c r="CK38" s="1097"/>
      <c r="CL38" s="1097"/>
      <c r="CM38" s="1097"/>
      <c r="CN38" s="1097"/>
      <c r="CO38" s="1097"/>
      <c r="CP38" s="1097"/>
      <c r="CQ38" s="1097"/>
      <c r="CR38" s="1097"/>
      <c r="CS38" s="1097"/>
      <c r="CT38" s="1097"/>
      <c r="CU38" s="1097"/>
      <c r="CV38" s="1097"/>
      <c r="CW38" s="1097"/>
      <c r="CX38" s="1097"/>
      <c r="CY38" s="1097"/>
      <c r="CZ38" s="1097"/>
      <c r="DA38" s="1097"/>
      <c r="DB38" s="1097"/>
      <c r="DC38" s="1097"/>
      <c r="DD38" s="1097"/>
      <c r="DE38" s="1097"/>
      <c r="DF38" s="1097"/>
      <c r="DG38" s="1097"/>
      <c r="DH38" s="1097"/>
      <c r="DI38" s="1097"/>
      <c r="DJ38" s="1097"/>
      <c r="DK38" s="1097"/>
      <c r="DL38" s="1097"/>
      <c r="DM38" s="1097"/>
      <c r="DN38" s="1097"/>
      <c r="DO38" s="1097"/>
      <c r="DP38" s="1097"/>
      <c r="DQ38" s="1097"/>
      <c r="DR38" s="1097"/>
      <c r="DS38" s="1097"/>
      <c r="DT38" s="1097"/>
      <c r="DU38" s="1097"/>
      <c r="DV38" s="1097"/>
      <c r="DW38" s="1097"/>
      <c r="DX38" s="1097"/>
      <c r="DY38" s="1097"/>
      <c r="DZ38" s="1097"/>
      <c r="EA38" s="1097"/>
      <c r="EB38" s="1097"/>
      <c r="EC38" s="1097"/>
      <c r="ED38" s="1097"/>
      <c r="EE38" s="1097"/>
      <c r="EF38" s="1097"/>
      <c r="EG38" s="1097"/>
      <c r="EH38" s="1097"/>
      <c r="EI38" s="1097"/>
      <c r="EJ38" s="1097"/>
      <c r="EK38" s="1097"/>
      <c r="EL38" s="1097"/>
      <c r="EM38" s="1097"/>
      <c r="EN38" s="1097"/>
      <c r="EO38" s="1097"/>
      <c r="EP38" s="1097"/>
      <c r="EQ38" s="1097"/>
      <c r="ER38" s="1097"/>
      <c r="ES38" s="1097"/>
      <c r="ET38" s="1097"/>
      <c r="EU38" s="1097"/>
      <c r="EV38" s="1097"/>
      <c r="EW38" s="1097"/>
      <c r="EX38" s="1097"/>
      <c r="EY38" s="1097"/>
      <c r="EZ38" s="1097"/>
      <c r="FA38" s="1097"/>
      <c r="FB38" s="1097"/>
      <c r="FC38" s="1097"/>
      <c r="FD38" s="1097"/>
      <c r="FE38" s="1097"/>
      <c r="FF38" s="1097"/>
      <c r="FG38" s="1097"/>
      <c r="FH38" s="1097"/>
      <c r="FI38" s="1097"/>
      <c r="FJ38" s="1097"/>
      <c r="FK38" s="1097"/>
      <c r="FL38" s="1097"/>
      <c r="FM38" s="1097"/>
      <c r="FN38" s="1097"/>
      <c r="FO38" s="1097"/>
      <c r="FP38" s="1097"/>
      <c r="FQ38" s="1097"/>
      <c r="FR38" s="1097"/>
      <c r="FS38" s="1097"/>
      <c r="FT38" s="1097"/>
      <c r="FU38" s="1097"/>
      <c r="FV38" s="1097"/>
      <c r="FW38" s="1097"/>
      <c r="FX38" s="1097"/>
      <c r="FY38" s="1097"/>
      <c r="FZ38" s="1097"/>
      <c r="GA38" s="1097"/>
      <c r="GB38" s="1097"/>
      <c r="GC38" s="1097"/>
      <c r="GD38" s="1097"/>
      <c r="GE38" s="1097"/>
      <c r="GF38" s="1097"/>
      <c r="GG38" s="1097"/>
      <c r="GH38" s="1097"/>
      <c r="GI38" s="1097"/>
      <c r="GJ38" s="1097"/>
      <c r="GK38" s="1097"/>
      <c r="GL38" s="1097"/>
      <c r="GM38" s="1097"/>
      <c r="GN38" s="1097"/>
      <c r="GO38" s="1097"/>
      <c r="GP38" s="1097"/>
      <c r="GQ38" s="1097"/>
      <c r="GR38" s="1097"/>
      <c r="GS38" s="1097"/>
      <c r="GT38" s="1097"/>
      <c r="GU38" s="1097"/>
      <c r="GV38" s="1097"/>
      <c r="GW38" s="1097"/>
      <c r="GX38" s="1097"/>
      <c r="GY38" s="1097"/>
      <c r="GZ38" s="1097"/>
      <c r="HA38" s="1097"/>
      <c r="HB38" s="1097"/>
      <c r="HC38" s="1097"/>
      <c r="HD38" s="1097"/>
      <c r="HE38" s="1097"/>
      <c r="HF38" s="1097"/>
      <c r="HG38" s="1097"/>
      <c r="HH38" s="1097"/>
      <c r="HI38" s="1097"/>
      <c r="HJ38" s="1097"/>
      <c r="HK38" s="1097"/>
      <c r="HL38" s="1097"/>
      <c r="HM38" s="1097"/>
      <c r="HN38" s="1097"/>
      <c r="HO38" s="1097"/>
      <c r="HP38" s="1097"/>
      <c r="HQ38" s="1097"/>
      <c r="HR38" s="1097"/>
      <c r="HS38" s="1097"/>
      <c r="HT38" s="1097"/>
      <c r="HU38" s="1097"/>
      <c r="HV38" s="1097"/>
      <c r="HW38" s="1097"/>
      <c r="HX38" s="1097"/>
      <c r="HY38" s="1097"/>
      <c r="HZ38" s="1097"/>
      <c r="IA38" s="1097"/>
      <c r="IB38" s="1097"/>
      <c r="IC38" s="1097"/>
      <c r="ID38" s="1097"/>
      <c r="IE38" s="1097"/>
      <c r="IF38" s="1097"/>
      <c r="IG38" s="1097"/>
      <c r="IH38" s="1097"/>
      <c r="II38" s="1097"/>
      <c r="IJ38" s="1097"/>
      <c r="IK38" s="1097"/>
      <c r="IL38" s="1097"/>
      <c r="IM38" s="1097"/>
      <c r="IN38" s="1097"/>
      <c r="IO38" s="1097"/>
      <c r="IP38" s="1097"/>
      <c r="IQ38" s="1097"/>
      <c r="IR38" s="1097"/>
      <c r="IS38" s="1097"/>
      <c r="IT38" s="1097"/>
      <c r="IU38" s="1097"/>
      <c r="IV38" s="1097"/>
    </row>
    <row r="39" spans="1:256" s="1098" customFormat="1" ht="38.25" customHeight="1">
      <c r="A39" s="2260" t="s">
        <v>2590</v>
      </c>
      <c r="B39" s="2261"/>
      <c r="C39" s="2261"/>
      <c r="D39" s="2261"/>
      <c r="E39" s="2261"/>
      <c r="F39"/>
      <c r="G39" s="1097"/>
      <c r="H39" s="1097"/>
      <c r="I39" s="1097"/>
      <c r="J39" s="1097"/>
      <c r="K39" s="1097"/>
      <c r="L39" s="1097"/>
      <c r="M39" s="1097"/>
      <c r="N39" s="1097"/>
      <c r="O39" s="1097"/>
      <c r="P39" s="1097"/>
      <c r="Q39" s="1097"/>
      <c r="R39" s="1097"/>
      <c r="S39" s="1097"/>
      <c r="T39" s="1097"/>
      <c r="U39" s="1097"/>
      <c r="V39" s="1097"/>
      <c r="W39" s="1097"/>
      <c r="X39" s="1097"/>
      <c r="Y39" s="1097"/>
      <c r="Z39" s="1097"/>
      <c r="AA39" s="1097"/>
      <c r="AB39" s="1097"/>
      <c r="AC39" s="1097"/>
      <c r="AD39" s="1097"/>
      <c r="AE39" s="1097"/>
      <c r="AF39" s="1097"/>
      <c r="AG39" s="1097"/>
      <c r="AH39" s="1097"/>
      <c r="AI39" s="1097"/>
      <c r="AJ39" s="1097"/>
      <c r="AK39" s="1097"/>
      <c r="AL39" s="1097"/>
      <c r="AM39" s="1097"/>
      <c r="AN39" s="1097"/>
      <c r="AO39" s="1097"/>
      <c r="AP39" s="1097"/>
      <c r="AQ39" s="1097"/>
      <c r="AR39" s="1097"/>
      <c r="AS39" s="1097"/>
      <c r="AT39" s="1097"/>
      <c r="AU39" s="1097"/>
      <c r="AV39" s="1097"/>
      <c r="AW39" s="1097"/>
      <c r="AX39" s="1097"/>
      <c r="AY39" s="1097"/>
      <c r="AZ39" s="1097"/>
      <c r="BA39" s="1097"/>
      <c r="BB39" s="1097"/>
      <c r="BC39" s="1097"/>
      <c r="BD39" s="1097"/>
      <c r="BE39" s="1097"/>
      <c r="BF39" s="1097"/>
      <c r="BG39" s="1097"/>
      <c r="BH39" s="1097"/>
      <c r="BI39" s="1097"/>
      <c r="BJ39" s="1097"/>
      <c r="BK39" s="1097"/>
      <c r="BL39" s="1097"/>
      <c r="BM39" s="1097"/>
      <c r="BN39" s="1097"/>
      <c r="BO39" s="1097"/>
      <c r="BP39" s="1097"/>
      <c r="BQ39" s="1097"/>
      <c r="BR39" s="1097"/>
      <c r="BS39" s="1097"/>
      <c r="BT39" s="1097"/>
      <c r="BU39" s="1097"/>
      <c r="BV39" s="1097"/>
      <c r="BW39" s="1097"/>
      <c r="BX39" s="1097"/>
      <c r="BY39" s="1097"/>
      <c r="BZ39" s="1097"/>
      <c r="CA39" s="1097"/>
      <c r="CB39" s="1097"/>
      <c r="CC39" s="1097"/>
      <c r="CD39" s="1097"/>
      <c r="CE39" s="1097"/>
      <c r="CF39" s="1097"/>
      <c r="CG39" s="1097"/>
      <c r="CH39" s="1097"/>
      <c r="CI39" s="1097"/>
      <c r="CJ39" s="1097"/>
      <c r="CK39" s="1097"/>
      <c r="CL39" s="1097"/>
      <c r="CM39" s="1097"/>
      <c r="CN39" s="1097"/>
      <c r="CO39" s="1097"/>
      <c r="CP39" s="1097"/>
      <c r="CQ39" s="1097"/>
      <c r="CR39" s="1097"/>
      <c r="CS39" s="1097"/>
      <c r="CT39" s="1097"/>
      <c r="CU39" s="1097"/>
      <c r="CV39" s="1097"/>
      <c r="CW39" s="1097"/>
      <c r="CX39" s="1097"/>
      <c r="CY39" s="1097"/>
      <c r="CZ39" s="1097"/>
      <c r="DA39" s="1097"/>
      <c r="DB39" s="1097"/>
      <c r="DC39" s="1097"/>
      <c r="DD39" s="1097"/>
      <c r="DE39" s="1097"/>
      <c r="DF39" s="1097"/>
      <c r="DG39" s="1097"/>
      <c r="DH39" s="1097"/>
      <c r="DI39" s="1097"/>
      <c r="DJ39" s="1097"/>
      <c r="DK39" s="1097"/>
      <c r="DL39" s="1097"/>
      <c r="DM39" s="1097"/>
      <c r="DN39" s="1097"/>
      <c r="DO39" s="1097"/>
      <c r="DP39" s="1097"/>
      <c r="DQ39" s="1097"/>
      <c r="DR39" s="1097"/>
      <c r="DS39" s="1097"/>
      <c r="DT39" s="1097"/>
      <c r="DU39" s="1097"/>
      <c r="DV39" s="1097"/>
      <c r="DW39" s="1097"/>
      <c r="DX39" s="1097"/>
      <c r="DY39" s="1097"/>
      <c r="DZ39" s="1097"/>
      <c r="EA39" s="1097"/>
      <c r="EB39" s="1097"/>
      <c r="EC39" s="1097"/>
      <c r="ED39" s="1097"/>
      <c r="EE39" s="1097"/>
      <c r="EF39" s="1097"/>
      <c r="EG39" s="1097"/>
      <c r="EH39" s="1097"/>
      <c r="EI39" s="1097"/>
      <c r="EJ39" s="1097"/>
      <c r="EK39" s="1097"/>
      <c r="EL39" s="1097"/>
      <c r="EM39" s="1097"/>
      <c r="EN39" s="1097"/>
      <c r="EO39" s="1097"/>
      <c r="EP39" s="1097"/>
      <c r="EQ39" s="1097"/>
      <c r="ER39" s="1097"/>
      <c r="ES39" s="1097"/>
      <c r="ET39" s="1097"/>
      <c r="EU39" s="1097"/>
      <c r="EV39" s="1097"/>
      <c r="EW39" s="1097"/>
      <c r="EX39" s="1097"/>
      <c r="EY39" s="1097"/>
      <c r="EZ39" s="1097"/>
      <c r="FA39" s="1097"/>
      <c r="FB39" s="1097"/>
      <c r="FC39" s="1097"/>
      <c r="FD39" s="1097"/>
      <c r="FE39" s="1097"/>
      <c r="FF39" s="1097"/>
      <c r="FG39" s="1097"/>
      <c r="FH39" s="1097"/>
      <c r="FI39" s="1097"/>
      <c r="FJ39" s="1097"/>
      <c r="FK39" s="1097"/>
      <c r="FL39" s="1097"/>
      <c r="FM39" s="1097"/>
      <c r="FN39" s="1097"/>
      <c r="FO39" s="1097"/>
      <c r="FP39" s="1097"/>
      <c r="FQ39" s="1097"/>
      <c r="FR39" s="1097"/>
      <c r="FS39" s="1097"/>
      <c r="FT39" s="1097"/>
      <c r="FU39" s="1097"/>
      <c r="FV39" s="1097"/>
      <c r="FW39" s="1097"/>
      <c r="FX39" s="1097"/>
      <c r="FY39" s="1097"/>
      <c r="FZ39" s="1097"/>
      <c r="GA39" s="1097"/>
      <c r="GB39" s="1097"/>
      <c r="GC39" s="1097"/>
      <c r="GD39" s="1097"/>
      <c r="GE39" s="1097"/>
      <c r="GF39" s="1097"/>
      <c r="GG39" s="1097"/>
      <c r="GH39" s="1097"/>
      <c r="GI39" s="1097"/>
      <c r="GJ39" s="1097"/>
      <c r="GK39" s="1097"/>
      <c r="GL39" s="1097"/>
      <c r="GM39" s="1097"/>
      <c r="GN39" s="1097"/>
      <c r="GO39" s="1097"/>
      <c r="GP39" s="1097"/>
      <c r="GQ39" s="1097"/>
      <c r="GR39" s="1097"/>
      <c r="GS39" s="1097"/>
      <c r="GT39" s="1097"/>
      <c r="GU39" s="1097"/>
      <c r="GV39" s="1097"/>
      <c r="GW39" s="1097"/>
      <c r="GX39" s="1097"/>
      <c r="GY39" s="1097"/>
      <c r="GZ39" s="1097"/>
      <c r="HA39" s="1097"/>
      <c r="HB39" s="1097"/>
      <c r="HC39" s="1097"/>
      <c r="HD39" s="1097"/>
      <c r="HE39" s="1097"/>
      <c r="HF39" s="1097"/>
      <c r="HG39" s="1097"/>
      <c r="HH39" s="1097"/>
      <c r="HI39" s="1097"/>
      <c r="HJ39" s="1097"/>
      <c r="HK39" s="1097"/>
      <c r="HL39" s="1097"/>
      <c r="HM39" s="1097"/>
      <c r="HN39" s="1097"/>
      <c r="HO39" s="1097"/>
      <c r="HP39" s="1097"/>
      <c r="HQ39" s="1097"/>
      <c r="HR39" s="1097"/>
      <c r="HS39" s="1097"/>
      <c r="HT39" s="1097"/>
      <c r="HU39" s="1097"/>
      <c r="HV39" s="1097"/>
      <c r="HW39" s="1097"/>
      <c r="HX39" s="1097"/>
      <c r="HY39" s="1097"/>
      <c r="HZ39" s="1097"/>
      <c r="IA39" s="1097"/>
      <c r="IB39" s="1097"/>
      <c r="IC39" s="1097"/>
      <c r="ID39" s="1097"/>
      <c r="IE39" s="1097"/>
      <c r="IF39" s="1097"/>
      <c r="IG39" s="1097"/>
      <c r="IH39" s="1097"/>
      <c r="II39" s="1097"/>
      <c r="IJ39" s="1097"/>
      <c r="IK39" s="1097"/>
      <c r="IL39" s="1097"/>
      <c r="IM39" s="1097"/>
      <c r="IN39" s="1097"/>
      <c r="IO39" s="1097"/>
      <c r="IP39" s="1097"/>
      <c r="IQ39" s="1097"/>
      <c r="IR39" s="1097"/>
      <c r="IS39" s="1097"/>
      <c r="IT39" s="1097"/>
      <c r="IU39" s="1097"/>
      <c r="IV39" s="1097"/>
    </row>
    <row r="40" spans="1:256" ht="51.75" customHeight="1">
      <c r="A40" s="2260" t="s">
        <v>847</v>
      </c>
      <c r="B40" s="2261"/>
      <c r="C40" s="2261"/>
      <c r="D40" s="2261"/>
      <c r="E40" s="2261"/>
    </row>
    <row r="41" spans="1:256" ht="38.25" customHeight="1">
      <c r="A41" s="2260" t="s">
        <v>848</v>
      </c>
      <c r="B41" s="2261"/>
      <c r="C41" s="2261"/>
      <c r="D41" s="2261"/>
      <c r="E41" s="2261"/>
    </row>
    <row r="42" spans="1:256" customFormat="1"/>
    <row r="43" spans="1:256" s="1098" customFormat="1" ht="12.75" customHeight="1">
      <c r="A43" s="2239" t="s">
        <v>849</v>
      </c>
      <c r="B43" s="2239"/>
      <c r="C43" s="2239"/>
      <c r="D43" s="2239"/>
      <c r="E43" s="2239"/>
      <c r="F43"/>
      <c r="G43" s="1097"/>
      <c r="H43" s="1097"/>
      <c r="I43" s="1097"/>
      <c r="J43" s="1097"/>
      <c r="K43" s="1097"/>
      <c r="L43" s="1097"/>
      <c r="M43" s="1097"/>
      <c r="N43" s="1097"/>
      <c r="O43" s="1097"/>
      <c r="P43" s="1097"/>
      <c r="Q43" s="1097"/>
      <c r="R43" s="1097"/>
      <c r="S43" s="1097"/>
      <c r="T43" s="1097"/>
      <c r="U43" s="1097"/>
      <c r="V43" s="1097"/>
      <c r="W43" s="1097"/>
      <c r="X43" s="1097"/>
      <c r="Y43" s="1097"/>
      <c r="Z43" s="1097"/>
      <c r="AA43" s="1097"/>
      <c r="AB43" s="1097"/>
      <c r="AC43" s="1097"/>
      <c r="AD43" s="1097"/>
      <c r="AE43" s="1097"/>
      <c r="AF43" s="1097"/>
      <c r="AG43" s="1097"/>
      <c r="AH43" s="1097"/>
      <c r="AI43" s="1097"/>
      <c r="AJ43" s="1097"/>
      <c r="AK43" s="1097"/>
      <c r="AL43" s="1097"/>
      <c r="AM43" s="1097"/>
      <c r="AN43" s="1097"/>
      <c r="AO43" s="1097"/>
      <c r="AP43" s="1097"/>
      <c r="AQ43" s="1097"/>
      <c r="AR43" s="1097"/>
      <c r="AS43" s="1097"/>
      <c r="AT43" s="1097"/>
      <c r="AU43" s="1097"/>
      <c r="AV43" s="1097"/>
      <c r="AW43" s="1097"/>
      <c r="AX43" s="1097"/>
      <c r="AY43" s="1097"/>
      <c r="AZ43" s="1097"/>
      <c r="BA43" s="1097"/>
      <c r="BB43" s="1097"/>
      <c r="BC43" s="1097"/>
      <c r="BD43" s="1097"/>
      <c r="BE43" s="1097"/>
      <c r="BF43" s="1097"/>
      <c r="BG43" s="1097"/>
      <c r="BH43" s="1097"/>
      <c r="BI43" s="1097"/>
      <c r="BJ43" s="1097"/>
      <c r="BK43" s="1097"/>
      <c r="BL43" s="1097"/>
      <c r="BM43" s="1097"/>
      <c r="BN43" s="1097"/>
      <c r="BO43" s="1097"/>
      <c r="BP43" s="1097"/>
      <c r="BQ43" s="1097"/>
      <c r="BR43" s="1097"/>
      <c r="BS43" s="1097"/>
      <c r="BT43" s="1097"/>
      <c r="BU43" s="1097"/>
      <c r="BV43" s="1097"/>
      <c r="BW43" s="1097"/>
      <c r="BX43" s="1097"/>
      <c r="BY43" s="1097"/>
      <c r="BZ43" s="1097"/>
      <c r="CA43" s="1097"/>
      <c r="CB43" s="1097"/>
      <c r="CC43" s="1097"/>
      <c r="CD43" s="1097"/>
      <c r="CE43" s="1097"/>
      <c r="CF43" s="1097"/>
      <c r="CG43" s="1097"/>
      <c r="CH43" s="1097"/>
      <c r="CI43" s="1097"/>
      <c r="CJ43" s="1097"/>
      <c r="CK43" s="1097"/>
      <c r="CL43" s="1097"/>
      <c r="CM43" s="1097"/>
      <c r="CN43" s="1097"/>
      <c r="CO43" s="1097"/>
      <c r="CP43" s="1097"/>
      <c r="CQ43" s="1097"/>
      <c r="CR43" s="1097"/>
      <c r="CS43" s="1097"/>
      <c r="CT43" s="1097"/>
      <c r="CU43" s="1097"/>
      <c r="CV43" s="1097"/>
      <c r="CW43" s="1097"/>
      <c r="CX43" s="1097"/>
      <c r="CY43" s="1097"/>
      <c r="CZ43" s="1097"/>
      <c r="DA43" s="1097"/>
      <c r="DB43" s="1097"/>
      <c r="DC43" s="1097"/>
      <c r="DD43" s="1097"/>
      <c r="DE43" s="1097"/>
      <c r="DF43" s="1097"/>
      <c r="DG43" s="1097"/>
      <c r="DH43" s="1097"/>
      <c r="DI43" s="1097"/>
      <c r="DJ43" s="1097"/>
      <c r="DK43" s="1097"/>
      <c r="DL43" s="1097"/>
      <c r="DM43" s="1097"/>
      <c r="DN43" s="1097"/>
      <c r="DO43" s="1097"/>
      <c r="DP43" s="1097"/>
      <c r="DQ43" s="1097"/>
      <c r="DR43" s="1097"/>
      <c r="DS43" s="1097"/>
      <c r="DT43" s="1097"/>
      <c r="DU43" s="1097"/>
      <c r="DV43" s="1097"/>
      <c r="DW43" s="1097"/>
      <c r="DX43" s="1097"/>
      <c r="DY43" s="1097"/>
      <c r="DZ43" s="1097"/>
      <c r="EA43" s="1097"/>
      <c r="EB43" s="1097"/>
      <c r="EC43" s="1097"/>
      <c r="ED43" s="1097"/>
      <c r="EE43" s="1097"/>
      <c r="EF43" s="1097"/>
      <c r="EG43" s="1097"/>
      <c r="EH43" s="1097"/>
      <c r="EI43" s="1097"/>
      <c r="EJ43" s="1097"/>
      <c r="EK43" s="1097"/>
      <c r="EL43" s="1097"/>
      <c r="EM43" s="1097"/>
      <c r="EN43" s="1097"/>
      <c r="EO43" s="1097"/>
      <c r="EP43" s="1097"/>
      <c r="EQ43" s="1097"/>
      <c r="ER43" s="1097"/>
      <c r="ES43" s="1097"/>
      <c r="ET43" s="1097"/>
      <c r="EU43" s="1097"/>
      <c r="EV43" s="1097"/>
      <c r="EW43" s="1097"/>
      <c r="EX43" s="1097"/>
      <c r="EY43" s="1097"/>
      <c r="EZ43" s="1097"/>
      <c r="FA43" s="1097"/>
      <c r="FB43" s="1097"/>
      <c r="FC43" s="1097"/>
      <c r="FD43" s="1097"/>
      <c r="FE43" s="1097"/>
      <c r="FF43" s="1097"/>
      <c r="FG43" s="1097"/>
      <c r="FH43" s="1097"/>
      <c r="FI43" s="1097"/>
      <c r="FJ43" s="1097"/>
      <c r="FK43" s="1097"/>
      <c r="FL43" s="1097"/>
      <c r="FM43" s="1097"/>
      <c r="FN43" s="1097"/>
      <c r="FO43" s="1097"/>
      <c r="FP43" s="1097"/>
      <c r="FQ43" s="1097"/>
      <c r="FR43" s="1097"/>
      <c r="FS43" s="1097"/>
      <c r="FT43" s="1097"/>
      <c r="FU43" s="1097"/>
      <c r="FV43" s="1097"/>
      <c r="FW43" s="1097"/>
      <c r="FX43" s="1097"/>
      <c r="FY43" s="1097"/>
      <c r="FZ43" s="1097"/>
      <c r="GA43" s="1097"/>
      <c r="GB43" s="1097"/>
      <c r="GC43" s="1097"/>
      <c r="GD43" s="1097"/>
      <c r="GE43" s="1097"/>
      <c r="GF43" s="1097"/>
      <c r="GG43" s="1097"/>
      <c r="GH43" s="1097"/>
      <c r="GI43" s="1097"/>
      <c r="GJ43" s="1097"/>
      <c r="GK43" s="1097"/>
      <c r="GL43" s="1097"/>
      <c r="GM43" s="1097"/>
      <c r="GN43" s="1097"/>
      <c r="GO43" s="1097"/>
      <c r="GP43" s="1097"/>
      <c r="GQ43" s="1097"/>
      <c r="GR43" s="1097"/>
      <c r="GS43" s="1097"/>
      <c r="GT43" s="1097"/>
      <c r="GU43" s="1097"/>
      <c r="GV43" s="1097"/>
      <c r="GW43" s="1097"/>
      <c r="GX43" s="1097"/>
      <c r="GY43" s="1097"/>
      <c r="GZ43" s="1097"/>
      <c r="HA43" s="1097"/>
      <c r="HB43" s="1097"/>
      <c r="HC43" s="1097"/>
      <c r="HD43" s="1097"/>
      <c r="HE43" s="1097"/>
      <c r="HF43" s="1097"/>
      <c r="HG43" s="1097"/>
      <c r="HH43" s="1097"/>
      <c r="HI43" s="1097"/>
      <c r="HJ43" s="1097"/>
      <c r="HK43" s="1097"/>
      <c r="HL43" s="1097"/>
      <c r="HM43" s="1097"/>
      <c r="HN43" s="1097"/>
      <c r="HO43" s="1097"/>
      <c r="HP43" s="1097"/>
      <c r="HQ43" s="1097"/>
      <c r="HR43" s="1097"/>
      <c r="HS43" s="1097"/>
      <c r="HT43" s="1097"/>
      <c r="HU43" s="1097"/>
      <c r="HV43" s="1097"/>
      <c r="HW43" s="1097"/>
      <c r="HX43" s="1097"/>
      <c r="HY43" s="1097"/>
      <c r="HZ43" s="1097"/>
      <c r="IA43" s="1097"/>
      <c r="IB43" s="1097"/>
      <c r="IC43" s="1097"/>
      <c r="ID43" s="1097"/>
      <c r="IE43" s="1097"/>
      <c r="IF43" s="1097"/>
      <c r="IG43" s="1097"/>
      <c r="IH43" s="1097"/>
      <c r="II43" s="1097"/>
      <c r="IJ43" s="1097"/>
      <c r="IK43" s="1097"/>
      <c r="IL43" s="1097"/>
      <c r="IM43" s="1097"/>
      <c r="IN43" s="1097"/>
      <c r="IO43" s="1097"/>
      <c r="IP43" s="1097"/>
      <c r="IQ43" s="1097"/>
      <c r="IR43" s="1097"/>
      <c r="IS43" s="1097"/>
      <c r="IT43" s="1097"/>
      <c r="IU43" s="1097"/>
      <c r="IV43" s="1097"/>
    </row>
    <row r="44" spans="1:256" s="1098" customFormat="1" ht="25.5" customHeight="1">
      <c r="A44" s="2258" t="s">
        <v>850</v>
      </c>
      <c r="B44" s="2259"/>
      <c r="C44" s="2259"/>
      <c r="D44" s="2259"/>
      <c r="E44" s="2259"/>
      <c r="F44"/>
      <c r="G44" s="1097"/>
      <c r="H44" s="1097"/>
      <c r="I44" s="1097"/>
      <c r="J44" s="1097"/>
      <c r="K44" s="1097"/>
      <c r="L44" s="1097"/>
      <c r="M44" s="1097"/>
      <c r="N44" s="1097"/>
      <c r="O44" s="1097"/>
      <c r="P44" s="1097"/>
      <c r="Q44" s="1097"/>
      <c r="R44" s="1097"/>
      <c r="S44" s="1097"/>
      <c r="T44" s="1097"/>
      <c r="U44" s="1097"/>
      <c r="V44" s="1097"/>
      <c r="W44" s="1097"/>
      <c r="X44" s="1097"/>
      <c r="Y44" s="1097"/>
      <c r="Z44" s="1097"/>
      <c r="AA44" s="1097"/>
      <c r="AB44" s="1097"/>
      <c r="AC44" s="1097"/>
      <c r="AD44" s="1097"/>
      <c r="AE44" s="1097"/>
      <c r="AF44" s="1097"/>
      <c r="AG44" s="1097"/>
      <c r="AH44" s="1097"/>
      <c r="AI44" s="1097"/>
      <c r="AJ44" s="1097"/>
      <c r="AK44" s="1097"/>
      <c r="AL44" s="1097"/>
      <c r="AM44" s="1097"/>
      <c r="AN44" s="1097"/>
      <c r="AO44" s="1097"/>
      <c r="AP44" s="1097"/>
      <c r="AQ44" s="1097"/>
      <c r="AR44" s="1097"/>
      <c r="AS44" s="1097"/>
      <c r="AT44" s="1097"/>
      <c r="AU44" s="1097"/>
      <c r="AV44" s="1097"/>
      <c r="AW44" s="1097"/>
      <c r="AX44" s="1097"/>
      <c r="AY44" s="1097"/>
      <c r="AZ44" s="1097"/>
      <c r="BA44" s="1097"/>
      <c r="BB44" s="1097"/>
      <c r="BC44" s="1097"/>
      <c r="BD44" s="1097"/>
      <c r="BE44" s="1097"/>
      <c r="BF44" s="1097"/>
      <c r="BG44" s="1097"/>
      <c r="BH44" s="1097"/>
      <c r="BI44" s="1097"/>
      <c r="BJ44" s="1097"/>
      <c r="BK44" s="1097"/>
      <c r="BL44" s="1097"/>
      <c r="BM44" s="1097"/>
      <c r="BN44" s="1097"/>
      <c r="BO44" s="1097"/>
      <c r="BP44" s="1097"/>
      <c r="BQ44" s="1097"/>
      <c r="BR44" s="1097"/>
      <c r="BS44" s="1097"/>
      <c r="BT44" s="1097"/>
      <c r="BU44" s="1097"/>
      <c r="BV44" s="1097"/>
      <c r="BW44" s="1097"/>
      <c r="BX44" s="1097"/>
      <c r="BY44" s="1097"/>
      <c r="BZ44" s="1097"/>
      <c r="CA44" s="1097"/>
      <c r="CB44" s="1097"/>
      <c r="CC44" s="1097"/>
      <c r="CD44" s="1097"/>
      <c r="CE44" s="1097"/>
      <c r="CF44" s="1097"/>
      <c r="CG44" s="1097"/>
      <c r="CH44" s="1097"/>
      <c r="CI44" s="1097"/>
      <c r="CJ44" s="1097"/>
      <c r="CK44" s="1097"/>
      <c r="CL44" s="1097"/>
      <c r="CM44" s="1097"/>
      <c r="CN44" s="1097"/>
      <c r="CO44" s="1097"/>
      <c r="CP44" s="1097"/>
      <c r="CQ44" s="1097"/>
      <c r="CR44" s="1097"/>
      <c r="CS44" s="1097"/>
      <c r="CT44" s="1097"/>
      <c r="CU44" s="1097"/>
      <c r="CV44" s="1097"/>
      <c r="CW44" s="1097"/>
      <c r="CX44" s="1097"/>
      <c r="CY44" s="1097"/>
      <c r="CZ44" s="1097"/>
      <c r="DA44" s="1097"/>
      <c r="DB44" s="1097"/>
      <c r="DC44" s="1097"/>
      <c r="DD44" s="1097"/>
      <c r="DE44" s="1097"/>
      <c r="DF44" s="1097"/>
      <c r="DG44" s="1097"/>
      <c r="DH44" s="1097"/>
      <c r="DI44" s="1097"/>
      <c r="DJ44" s="1097"/>
      <c r="DK44" s="1097"/>
      <c r="DL44" s="1097"/>
      <c r="DM44" s="1097"/>
      <c r="DN44" s="1097"/>
      <c r="DO44" s="1097"/>
      <c r="DP44" s="1097"/>
      <c r="DQ44" s="1097"/>
      <c r="DR44" s="1097"/>
      <c r="DS44" s="1097"/>
      <c r="DT44" s="1097"/>
      <c r="DU44" s="1097"/>
      <c r="DV44" s="1097"/>
      <c r="DW44" s="1097"/>
      <c r="DX44" s="1097"/>
      <c r="DY44" s="1097"/>
      <c r="DZ44" s="1097"/>
      <c r="EA44" s="1097"/>
      <c r="EB44" s="1097"/>
      <c r="EC44" s="1097"/>
      <c r="ED44" s="1097"/>
      <c r="EE44" s="1097"/>
      <c r="EF44" s="1097"/>
      <c r="EG44" s="1097"/>
      <c r="EH44" s="1097"/>
      <c r="EI44" s="1097"/>
      <c r="EJ44" s="1097"/>
      <c r="EK44" s="1097"/>
      <c r="EL44" s="1097"/>
      <c r="EM44" s="1097"/>
      <c r="EN44" s="1097"/>
      <c r="EO44" s="1097"/>
      <c r="EP44" s="1097"/>
      <c r="EQ44" s="1097"/>
      <c r="ER44" s="1097"/>
      <c r="ES44" s="1097"/>
      <c r="ET44" s="1097"/>
      <c r="EU44" s="1097"/>
      <c r="EV44" s="1097"/>
      <c r="EW44" s="1097"/>
      <c r="EX44" s="1097"/>
      <c r="EY44" s="1097"/>
      <c r="EZ44" s="1097"/>
      <c r="FA44" s="1097"/>
      <c r="FB44" s="1097"/>
      <c r="FC44" s="1097"/>
      <c r="FD44" s="1097"/>
      <c r="FE44" s="1097"/>
      <c r="FF44" s="1097"/>
      <c r="FG44" s="1097"/>
      <c r="FH44" s="1097"/>
      <c r="FI44" s="1097"/>
      <c r="FJ44" s="1097"/>
      <c r="FK44" s="1097"/>
      <c r="FL44" s="1097"/>
      <c r="FM44" s="1097"/>
      <c r="FN44" s="1097"/>
      <c r="FO44" s="1097"/>
      <c r="FP44" s="1097"/>
      <c r="FQ44" s="1097"/>
      <c r="FR44" s="1097"/>
      <c r="FS44" s="1097"/>
      <c r="FT44" s="1097"/>
      <c r="FU44" s="1097"/>
      <c r="FV44" s="1097"/>
      <c r="FW44" s="1097"/>
      <c r="FX44" s="1097"/>
      <c r="FY44" s="1097"/>
      <c r="FZ44" s="1097"/>
      <c r="GA44" s="1097"/>
      <c r="GB44" s="1097"/>
      <c r="GC44" s="1097"/>
      <c r="GD44" s="1097"/>
      <c r="GE44" s="1097"/>
      <c r="GF44" s="1097"/>
      <c r="GG44" s="1097"/>
      <c r="GH44" s="1097"/>
      <c r="GI44" s="1097"/>
      <c r="GJ44" s="1097"/>
      <c r="GK44" s="1097"/>
      <c r="GL44" s="1097"/>
      <c r="GM44" s="1097"/>
      <c r="GN44" s="1097"/>
      <c r="GO44" s="1097"/>
      <c r="GP44" s="1097"/>
      <c r="GQ44" s="1097"/>
      <c r="GR44" s="1097"/>
      <c r="GS44" s="1097"/>
      <c r="GT44" s="1097"/>
      <c r="GU44" s="1097"/>
      <c r="GV44" s="1097"/>
      <c r="GW44" s="1097"/>
      <c r="GX44" s="1097"/>
      <c r="GY44" s="1097"/>
      <c r="GZ44" s="1097"/>
      <c r="HA44" s="1097"/>
      <c r="HB44" s="1097"/>
      <c r="HC44" s="1097"/>
      <c r="HD44" s="1097"/>
      <c r="HE44" s="1097"/>
      <c r="HF44" s="1097"/>
      <c r="HG44" s="1097"/>
      <c r="HH44" s="1097"/>
      <c r="HI44" s="1097"/>
      <c r="HJ44" s="1097"/>
      <c r="HK44" s="1097"/>
      <c r="HL44" s="1097"/>
      <c r="HM44" s="1097"/>
      <c r="HN44" s="1097"/>
      <c r="HO44" s="1097"/>
      <c r="HP44" s="1097"/>
      <c r="HQ44" s="1097"/>
      <c r="HR44" s="1097"/>
      <c r="HS44" s="1097"/>
      <c r="HT44" s="1097"/>
      <c r="HU44" s="1097"/>
      <c r="HV44" s="1097"/>
      <c r="HW44" s="1097"/>
      <c r="HX44" s="1097"/>
      <c r="HY44" s="1097"/>
      <c r="HZ44" s="1097"/>
      <c r="IA44" s="1097"/>
      <c r="IB44" s="1097"/>
      <c r="IC44" s="1097"/>
      <c r="ID44" s="1097"/>
      <c r="IE44" s="1097"/>
      <c r="IF44" s="1097"/>
      <c r="IG44" s="1097"/>
      <c r="IH44" s="1097"/>
      <c r="II44" s="1097"/>
      <c r="IJ44" s="1097"/>
      <c r="IK44" s="1097"/>
      <c r="IL44" s="1097"/>
      <c r="IM44" s="1097"/>
      <c r="IN44" s="1097"/>
      <c r="IO44" s="1097"/>
      <c r="IP44" s="1097"/>
      <c r="IQ44" s="1097"/>
      <c r="IR44" s="1097"/>
      <c r="IS44" s="1097"/>
      <c r="IT44" s="1097"/>
      <c r="IU44" s="1097"/>
      <c r="IV44" s="1097"/>
    </row>
    <row r="45" spans="1:256" ht="25.5" customHeight="1">
      <c r="A45" s="2258" t="s">
        <v>851</v>
      </c>
      <c r="B45" s="2259"/>
      <c r="C45" s="2259"/>
      <c r="D45" s="2259"/>
      <c r="E45" s="2259"/>
    </row>
    <row r="46" spans="1:256" customFormat="1" ht="12.75" customHeight="1"/>
    <row r="47" spans="1:256" ht="38.25" customHeight="1">
      <c r="A47" s="2262" t="s">
        <v>1842</v>
      </c>
      <c r="B47" s="2262"/>
      <c r="C47" s="2262"/>
      <c r="D47" s="2262"/>
      <c r="E47" s="2262"/>
    </row>
    <row r="48" spans="1:256" customFormat="1"/>
    <row r="49" spans="1:256" s="1098" customFormat="1" ht="12.75" customHeight="1">
      <c r="A49" s="2239" t="s">
        <v>852</v>
      </c>
      <c r="B49" s="2239"/>
      <c r="C49" s="2239"/>
      <c r="D49" s="2239"/>
      <c r="E49" s="2239"/>
      <c r="F49"/>
      <c r="G49" s="1097"/>
      <c r="H49" s="1097"/>
      <c r="I49" s="1097"/>
      <c r="J49" s="1097"/>
      <c r="K49" s="1097"/>
      <c r="L49" s="1097"/>
      <c r="M49" s="1097"/>
      <c r="N49" s="1097"/>
      <c r="O49" s="1097"/>
      <c r="P49" s="1097"/>
      <c r="Q49" s="1097"/>
      <c r="R49" s="1097"/>
      <c r="S49" s="1097"/>
      <c r="T49" s="1097"/>
      <c r="U49" s="1097"/>
      <c r="V49" s="1097"/>
      <c r="W49" s="1097"/>
      <c r="X49" s="1097"/>
      <c r="Y49" s="1097"/>
      <c r="Z49" s="1097"/>
      <c r="AA49" s="1097"/>
      <c r="AB49" s="1097"/>
      <c r="AC49" s="1097"/>
      <c r="AD49" s="1097"/>
      <c r="AE49" s="1097"/>
      <c r="AF49" s="1097"/>
      <c r="AG49" s="1097"/>
      <c r="AH49" s="1097"/>
      <c r="AI49" s="1097"/>
      <c r="AJ49" s="1097"/>
      <c r="AK49" s="1097"/>
      <c r="AL49" s="1097"/>
      <c r="AM49" s="1097"/>
      <c r="AN49" s="1097"/>
      <c r="AO49" s="1097"/>
      <c r="AP49" s="1097"/>
      <c r="AQ49" s="1097"/>
      <c r="AR49" s="1097"/>
      <c r="AS49" s="1097"/>
      <c r="AT49" s="1097"/>
      <c r="AU49" s="1097"/>
      <c r="AV49" s="1097"/>
      <c r="AW49" s="1097"/>
      <c r="AX49" s="1097"/>
      <c r="AY49" s="1097"/>
      <c r="AZ49" s="1097"/>
      <c r="BA49" s="1097"/>
      <c r="BB49" s="1097"/>
      <c r="BC49" s="1097"/>
      <c r="BD49" s="1097"/>
      <c r="BE49" s="1097"/>
      <c r="BF49" s="1097"/>
      <c r="BG49" s="1097"/>
      <c r="BH49" s="1097"/>
      <c r="BI49" s="1097"/>
      <c r="BJ49" s="1097"/>
      <c r="BK49" s="1097"/>
      <c r="BL49" s="1097"/>
      <c r="BM49" s="1097"/>
      <c r="BN49" s="1097"/>
      <c r="BO49" s="1097"/>
      <c r="BP49" s="1097"/>
      <c r="BQ49" s="1097"/>
      <c r="BR49" s="1097"/>
      <c r="BS49" s="1097"/>
      <c r="BT49" s="1097"/>
      <c r="BU49" s="1097"/>
      <c r="BV49" s="1097"/>
      <c r="BW49" s="1097"/>
      <c r="BX49" s="1097"/>
      <c r="BY49" s="1097"/>
      <c r="BZ49" s="1097"/>
      <c r="CA49" s="1097"/>
      <c r="CB49" s="1097"/>
      <c r="CC49" s="1097"/>
      <c r="CD49" s="1097"/>
      <c r="CE49" s="1097"/>
      <c r="CF49" s="1097"/>
      <c r="CG49" s="1097"/>
      <c r="CH49" s="1097"/>
      <c r="CI49" s="1097"/>
      <c r="CJ49" s="1097"/>
      <c r="CK49" s="1097"/>
      <c r="CL49" s="1097"/>
      <c r="CM49" s="1097"/>
      <c r="CN49" s="1097"/>
      <c r="CO49" s="1097"/>
      <c r="CP49" s="1097"/>
      <c r="CQ49" s="1097"/>
      <c r="CR49" s="1097"/>
      <c r="CS49" s="1097"/>
      <c r="CT49" s="1097"/>
      <c r="CU49" s="1097"/>
      <c r="CV49" s="1097"/>
      <c r="CW49" s="1097"/>
      <c r="CX49" s="1097"/>
      <c r="CY49" s="1097"/>
      <c r="CZ49" s="1097"/>
      <c r="DA49" s="1097"/>
      <c r="DB49" s="1097"/>
      <c r="DC49" s="1097"/>
      <c r="DD49" s="1097"/>
      <c r="DE49" s="1097"/>
      <c r="DF49" s="1097"/>
      <c r="DG49" s="1097"/>
      <c r="DH49" s="1097"/>
      <c r="DI49" s="1097"/>
      <c r="DJ49" s="1097"/>
      <c r="DK49" s="1097"/>
      <c r="DL49" s="1097"/>
      <c r="DM49" s="1097"/>
      <c r="DN49" s="1097"/>
      <c r="DO49" s="1097"/>
      <c r="DP49" s="1097"/>
      <c r="DQ49" s="1097"/>
      <c r="DR49" s="1097"/>
      <c r="DS49" s="1097"/>
      <c r="DT49" s="1097"/>
      <c r="DU49" s="1097"/>
      <c r="DV49" s="1097"/>
      <c r="DW49" s="1097"/>
      <c r="DX49" s="1097"/>
      <c r="DY49" s="1097"/>
      <c r="DZ49" s="1097"/>
      <c r="EA49" s="1097"/>
      <c r="EB49" s="1097"/>
      <c r="EC49" s="1097"/>
      <c r="ED49" s="1097"/>
      <c r="EE49" s="1097"/>
      <c r="EF49" s="1097"/>
      <c r="EG49" s="1097"/>
      <c r="EH49" s="1097"/>
      <c r="EI49" s="1097"/>
      <c r="EJ49" s="1097"/>
      <c r="EK49" s="1097"/>
      <c r="EL49" s="1097"/>
      <c r="EM49" s="1097"/>
      <c r="EN49" s="1097"/>
      <c r="EO49" s="1097"/>
      <c r="EP49" s="1097"/>
      <c r="EQ49" s="1097"/>
      <c r="ER49" s="1097"/>
      <c r="ES49" s="1097"/>
      <c r="ET49" s="1097"/>
      <c r="EU49" s="1097"/>
      <c r="EV49" s="1097"/>
      <c r="EW49" s="1097"/>
      <c r="EX49" s="1097"/>
      <c r="EY49" s="1097"/>
      <c r="EZ49" s="1097"/>
      <c r="FA49" s="1097"/>
      <c r="FB49" s="1097"/>
      <c r="FC49" s="1097"/>
      <c r="FD49" s="1097"/>
      <c r="FE49" s="1097"/>
      <c r="FF49" s="1097"/>
      <c r="FG49" s="1097"/>
      <c r="FH49" s="1097"/>
      <c r="FI49" s="1097"/>
      <c r="FJ49" s="1097"/>
      <c r="FK49" s="1097"/>
      <c r="FL49" s="1097"/>
      <c r="FM49" s="1097"/>
      <c r="FN49" s="1097"/>
      <c r="FO49" s="1097"/>
      <c r="FP49" s="1097"/>
      <c r="FQ49" s="1097"/>
      <c r="FR49" s="1097"/>
      <c r="FS49" s="1097"/>
      <c r="FT49" s="1097"/>
      <c r="FU49" s="1097"/>
      <c r="FV49" s="1097"/>
      <c r="FW49" s="1097"/>
      <c r="FX49" s="1097"/>
      <c r="FY49" s="1097"/>
      <c r="FZ49" s="1097"/>
      <c r="GA49" s="1097"/>
      <c r="GB49" s="1097"/>
      <c r="GC49" s="1097"/>
      <c r="GD49" s="1097"/>
      <c r="GE49" s="1097"/>
      <c r="GF49" s="1097"/>
      <c r="GG49" s="1097"/>
      <c r="GH49" s="1097"/>
      <c r="GI49" s="1097"/>
      <c r="GJ49" s="1097"/>
      <c r="GK49" s="1097"/>
      <c r="GL49" s="1097"/>
      <c r="GM49" s="1097"/>
      <c r="GN49" s="1097"/>
      <c r="GO49" s="1097"/>
      <c r="GP49" s="1097"/>
      <c r="GQ49" s="1097"/>
      <c r="GR49" s="1097"/>
      <c r="GS49" s="1097"/>
      <c r="GT49" s="1097"/>
      <c r="GU49" s="1097"/>
      <c r="GV49" s="1097"/>
      <c r="GW49" s="1097"/>
      <c r="GX49" s="1097"/>
      <c r="GY49" s="1097"/>
      <c r="GZ49" s="1097"/>
      <c r="HA49" s="1097"/>
      <c r="HB49" s="1097"/>
      <c r="HC49" s="1097"/>
      <c r="HD49" s="1097"/>
      <c r="HE49" s="1097"/>
      <c r="HF49" s="1097"/>
      <c r="HG49" s="1097"/>
      <c r="HH49" s="1097"/>
      <c r="HI49" s="1097"/>
      <c r="HJ49" s="1097"/>
      <c r="HK49" s="1097"/>
      <c r="HL49" s="1097"/>
      <c r="HM49" s="1097"/>
      <c r="HN49" s="1097"/>
      <c r="HO49" s="1097"/>
      <c r="HP49" s="1097"/>
      <c r="HQ49" s="1097"/>
      <c r="HR49" s="1097"/>
      <c r="HS49" s="1097"/>
      <c r="HT49" s="1097"/>
      <c r="HU49" s="1097"/>
      <c r="HV49" s="1097"/>
      <c r="HW49" s="1097"/>
      <c r="HX49" s="1097"/>
      <c r="HY49" s="1097"/>
      <c r="HZ49" s="1097"/>
      <c r="IA49" s="1097"/>
      <c r="IB49" s="1097"/>
      <c r="IC49" s="1097"/>
      <c r="ID49" s="1097"/>
      <c r="IE49" s="1097"/>
      <c r="IF49" s="1097"/>
      <c r="IG49" s="1097"/>
      <c r="IH49" s="1097"/>
      <c r="II49" s="1097"/>
      <c r="IJ49" s="1097"/>
      <c r="IK49" s="1097"/>
      <c r="IL49" s="1097"/>
      <c r="IM49" s="1097"/>
      <c r="IN49" s="1097"/>
      <c r="IO49" s="1097"/>
      <c r="IP49" s="1097"/>
      <c r="IQ49" s="1097"/>
      <c r="IR49" s="1097"/>
      <c r="IS49" s="1097"/>
      <c r="IT49" s="1097"/>
      <c r="IU49" s="1097"/>
      <c r="IV49" s="1097"/>
    </row>
    <row r="50" spans="1:256" ht="12.75" customHeight="1">
      <c r="A50" s="2258" t="s">
        <v>853</v>
      </c>
      <c r="B50" s="2259"/>
      <c r="C50" s="2259"/>
      <c r="D50" s="2259"/>
      <c r="E50" s="2259"/>
    </row>
    <row r="51" spans="1:256" ht="12.75" customHeight="1">
      <c r="A51" s="2258" t="s">
        <v>854</v>
      </c>
      <c r="B51" s="2259"/>
      <c r="C51" s="2259"/>
      <c r="D51" s="2259"/>
      <c r="E51" s="2259"/>
    </row>
    <row r="52" spans="1:256" customFormat="1" ht="12.75" customHeight="1"/>
    <row r="53" spans="1:256" customFormat="1" ht="25.5" customHeight="1"/>
    <row r="54" spans="1:256" customFormat="1"/>
    <row r="55" spans="1:256" customFormat="1"/>
    <row r="56" spans="1:256" customFormat="1" ht="14.1" customHeight="1"/>
    <row r="57" spans="1:256" customFormat="1"/>
    <row r="58" spans="1:256" customFormat="1"/>
    <row r="59" spans="1:256" customFormat="1"/>
    <row r="60" spans="1:256" customFormat="1"/>
    <row r="61" spans="1:256" customFormat="1"/>
    <row r="62" spans="1:256" customFormat="1"/>
    <row r="63" spans="1:256" customFormat="1"/>
    <row r="64" spans="1:256" customFormat="1"/>
    <row r="65" customFormat="1" ht="20.25" customHeight="1"/>
  </sheetData>
  <sheetProtection algorithmName="SHA-512" hashValue="oslohhhfIEWIFoV+W+DwTjUCNBtD2m4v1AYC9xHNFByt1u3OwFNgejeRQzLJOfN4VMSoAu7MpI8YBbQ+Rpkd1g==" saltValue="I6VvANO8R+nTDUEhxHwxWg==" spinCount="100000" sheet="1" objects="1" scenarios="1"/>
  <mergeCells count="34">
    <mergeCell ref="A9:E9"/>
    <mergeCell ref="A11:E11"/>
    <mergeCell ref="C1:D1"/>
    <mergeCell ref="A3:E3"/>
    <mergeCell ref="A5:E5"/>
    <mergeCell ref="A6:E6"/>
    <mergeCell ref="A13:E13"/>
    <mergeCell ref="A14:E14"/>
    <mergeCell ref="A16:E16"/>
    <mergeCell ref="A18:E18"/>
    <mergeCell ref="A33:E33"/>
    <mergeCell ref="A20:B20"/>
    <mergeCell ref="A21:E21"/>
    <mergeCell ref="A22:E22"/>
    <mergeCell ref="A32:E32"/>
    <mergeCell ref="A24:E24"/>
    <mergeCell ref="A27:E27"/>
    <mergeCell ref="A30:E30"/>
    <mergeCell ref="A23:E23"/>
    <mergeCell ref="A28:E28"/>
    <mergeCell ref="A29:E29"/>
    <mergeCell ref="A31:E31"/>
    <mergeCell ref="A38:E38"/>
    <mergeCell ref="A36:E36"/>
    <mergeCell ref="A51:E51"/>
    <mergeCell ref="A39:E39"/>
    <mergeCell ref="A40:E40"/>
    <mergeCell ref="A41:E41"/>
    <mergeCell ref="A43:E43"/>
    <mergeCell ref="A44:E44"/>
    <mergeCell ref="A45:E45"/>
    <mergeCell ref="A50:E50"/>
    <mergeCell ref="A47:E47"/>
    <mergeCell ref="A49:E49"/>
  </mergeCell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82" firstPageNumber="0" orientation="portrait" r:id="rId1"/>
  <headerFooter alignWithMargins="0">
    <oddFooter>&amp;LRSU 2020 - Présentation au CTP&amp;R&amp;P/&amp;N
&amp;A</oddFooter>
  </headerFooter>
  <rowBreaks count="1" manualBreakCount="1">
    <brk id="55" max="16383" man="1"/>
  </rowBreaks>
</worksheet>
</file>

<file path=xl/worksheets/sheet15.xml><?xml version="1.0" encoding="utf-8"?>
<worksheet xmlns="http://schemas.openxmlformats.org/spreadsheetml/2006/main" xmlns:r="http://schemas.openxmlformats.org/officeDocument/2006/relationships">
  <sheetPr codeName="Feuil7">
    <pageSetUpPr fitToPage="1"/>
  </sheetPr>
  <dimension ref="A1:J378"/>
  <sheetViews>
    <sheetView showGridLines="0" workbookViewId="0">
      <pane ySplit="17" topLeftCell="A21" activePane="bottomLeft" state="frozen"/>
      <selection activeCell="H29" sqref="H29:AB29"/>
      <selection pane="bottomLeft"/>
    </sheetView>
  </sheetViews>
  <sheetFormatPr baseColWidth="10" defaultColWidth="10.85546875" defaultRowHeight="12.75" customHeight="1"/>
  <cols>
    <col min="1" max="1" width="72.42578125" customWidth="1"/>
    <col min="2" max="2" width="11.7109375" customWidth="1"/>
    <col min="3" max="4" width="10.28515625" customWidth="1"/>
    <col min="5" max="5" width="9.28515625" customWidth="1"/>
    <col min="6" max="7" width="11.28515625" customWidth="1"/>
    <col min="8" max="8" width="10.140625" customWidth="1"/>
    <col min="9" max="9" width="11.85546875" customWidth="1"/>
  </cols>
  <sheetData>
    <row r="1" spans="1:9" ht="17.100000000000001" customHeight="1">
      <c r="A1" s="1"/>
      <c r="B1" s="2245" t="s">
        <v>958</v>
      </c>
      <c r="C1" s="2245"/>
      <c r="D1" s="21"/>
      <c r="E1" s="1"/>
      <c r="F1" s="9"/>
      <c r="G1" s="1"/>
      <c r="H1" s="1"/>
      <c r="I1" s="1"/>
    </row>
    <row r="2" spans="1:9" ht="13.5" customHeight="1">
      <c r="A2" s="2"/>
      <c r="B2" s="2"/>
      <c r="C2" s="2"/>
      <c r="D2" s="2"/>
      <c r="E2" s="2"/>
      <c r="F2" s="2"/>
      <c r="G2" s="2"/>
      <c r="H2" s="64"/>
      <c r="I2" s="64"/>
    </row>
    <row r="3" spans="1:9" ht="25.5" customHeight="1">
      <c r="A3" s="2269" t="s">
        <v>2336</v>
      </c>
      <c r="B3" s="2269"/>
      <c r="C3" s="2269"/>
      <c r="D3" s="2269"/>
      <c r="E3" s="2269"/>
      <c r="F3" s="2269"/>
      <c r="G3" s="2269"/>
      <c r="H3" s="2269"/>
      <c r="I3" s="2269"/>
    </row>
    <row r="4" spans="1:9" ht="8.25" customHeight="1">
      <c r="A4" s="65"/>
      <c r="B4" s="65"/>
      <c r="C4" s="65"/>
      <c r="D4" s="65"/>
      <c r="E4" s="65"/>
      <c r="F4" s="65"/>
      <c r="G4" s="65"/>
      <c r="H4" s="416"/>
      <c r="I4" s="416"/>
    </row>
    <row r="5" spans="1:9" ht="7.5" customHeight="1">
      <c r="A5" s="44"/>
      <c r="B5" s="56"/>
      <c r="C5" s="56"/>
      <c r="D5" s="56"/>
      <c r="E5" s="56"/>
      <c r="F5" s="56"/>
      <c r="G5" s="44"/>
      <c r="H5" s="414"/>
      <c r="I5" s="414"/>
    </row>
    <row r="6" spans="1:9" ht="13.35" customHeight="1">
      <c r="A6" s="2250" t="s">
        <v>2337</v>
      </c>
      <c r="B6" s="2250"/>
      <c r="C6" s="2250"/>
      <c r="D6" s="2250"/>
      <c r="E6" s="2250"/>
      <c r="F6" s="2250"/>
      <c r="G6" s="2250"/>
      <c r="H6" s="2250"/>
      <c r="I6" s="2250"/>
    </row>
    <row r="7" spans="1:9" ht="13.35" customHeight="1">
      <c r="A7" s="2270" t="s">
        <v>1977</v>
      </c>
      <c r="B7" s="2270"/>
      <c r="C7" s="2270"/>
      <c r="D7" s="2270"/>
      <c r="E7" s="2270"/>
      <c r="F7" s="2270"/>
      <c r="G7" s="2270"/>
      <c r="H7" s="2270"/>
      <c r="I7" s="2270"/>
    </row>
    <row r="8" spans="1:9" ht="13.35" customHeight="1">
      <c r="A8" s="2268" t="s">
        <v>754</v>
      </c>
      <c r="B8" s="2268"/>
      <c r="C8" s="2268"/>
      <c r="D8" s="2268"/>
      <c r="E8" s="2268"/>
      <c r="F8" s="2268"/>
      <c r="G8" s="2268"/>
      <c r="H8" s="2268"/>
      <c r="I8" s="2268"/>
    </row>
    <row r="9" spans="1:9" ht="16.5" customHeight="1">
      <c r="A9" s="417"/>
      <c r="B9" s="66"/>
      <c r="C9" s="66"/>
      <c r="D9" s="66"/>
      <c r="E9" s="66"/>
      <c r="F9" s="415"/>
      <c r="G9" s="418"/>
      <c r="H9" s="418"/>
      <c r="I9" s="418"/>
    </row>
    <row r="10" spans="1:9" ht="21.75" customHeight="1">
      <c r="A10" s="414"/>
      <c r="B10" s="2257" t="s">
        <v>767</v>
      </c>
      <c r="C10" s="2257"/>
      <c r="D10" s="2257"/>
      <c r="E10" s="2257"/>
      <c r="F10" s="2257"/>
      <c r="G10" s="2257" t="s">
        <v>767</v>
      </c>
      <c r="H10" s="2257"/>
      <c r="I10" s="2271" t="s">
        <v>768</v>
      </c>
    </row>
    <row r="11" spans="1:9" ht="27" customHeight="1">
      <c r="A11" s="67" t="s">
        <v>769</v>
      </c>
      <c r="B11" s="68" t="s">
        <v>770</v>
      </c>
      <c r="C11" s="2257" t="s">
        <v>771</v>
      </c>
      <c r="D11" s="2257"/>
      <c r="E11" s="2257"/>
      <c r="F11" s="2257"/>
      <c r="G11" s="69" t="s">
        <v>707</v>
      </c>
      <c r="H11" s="70" t="s">
        <v>708</v>
      </c>
      <c r="I11" s="2271"/>
    </row>
    <row r="12" spans="1:9" ht="17.25" customHeight="1">
      <c r="A12" s="71" t="s">
        <v>772</v>
      </c>
      <c r="B12" s="72"/>
      <c r="C12" s="2272" t="s">
        <v>1170</v>
      </c>
      <c r="D12" s="2272"/>
      <c r="E12" s="2272"/>
      <c r="F12" s="449" t="s">
        <v>508</v>
      </c>
      <c r="G12" s="72"/>
      <c r="H12" s="73"/>
      <c r="I12" s="2271"/>
    </row>
    <row r="13" spans="1:9" ht="18" customHeight="1">
      <c r="A13" s="71" t="s">
        <v>2014</v>
      </c>
      <c r="B13" s="74"/>
      <c r="C13" s="75" t="s">
        <v>2015</v>
      </c>
      <c r="D13" s="76" t="s">
        <v>2016</v>
      </c>
      <c r="E13" s="77" t="s">
        <v>2017</v>
      </c>
      <c r="F13" s="452"/>
      <c r="G13" s="78"/>
      <c r="H13" s="79"/>
      <c r="I13" s="2271"/>
    </row>
    <row r="14" spans="1:9" ht="12.75" customHeight="1">
      <c r="A14" s="71"/>
      <c r="B14" s="74"/>
      <c r="C14" s="80" t="s">
        <v>2262</v>
      </c>
      <c r="D14" s="78" t="s">
        <v>2263</v>
      </c>
      <c r="E14" s="81" t="s">
        <v>2264</v>
      </c>
      <c r="F14" s="453"/>
      <c r="G14" s="78"/>
      <c r="H14" s="79"/>
      <c r="I14" s="2271"/>
    </row>
    <row r="15" spans="1:9" ht="14.25" customHeight="1">
      <c r="A15" s="71"/>
      <c r="B15" s="74"/>
      <c r="C15" s="75"/>
      <c r="D15" s="76" t="s">
        <v>2017</v>
      </c>
      <c r="E15" s="82"/>
      <c r="F15" s="453"/>
      <c r="G15" s="78"/>
      <c r="H15" s="79"/>
      <c r="I15" s="2271"/>
    </row>
    <row r="16" spans="1:9" ht="12.75" customHeight="1">
      <c r="A16" s="83"/>
      <c r="B16" s="84" t="s">
        <v>2265</v>
      </c>
      <c r="C16" s="85" t="s">
        <v>1907</v>
      </c>
      <c r="D16" s="85" t="s">
        <v>1908</v>
      </c>
      <c r="E16" s="85" t="s">
        <v>1909</v>
      </c>
      <c r="F16" s="454"/>
      <c r="G16" s="84" t="s">
        <v>1910</v>
      </c>
      <c r="H16" s="86" t="s">
        <v>1911</v>
      </c>
      <c r="I16" s="2271"/>
    </row>
    <row r="17" spans="1:10" ht="12.75" customHeight="1">
      <c r="A17" s="87"/>
      <c r="B17" s="1190">
        <v>10</v>
      </c>
      <c r="C17" s="1190">
        <v>21</v>
      </c>
      <c r="D17" s="1190">
        <v>22</v>
      </c>
      <c r="E17" s="1190">
        <v>23</v>
      </c>
      <c r="F17" s="1190">
        <v>20</v>
      </c>
      <c r="G17" s="1191">
        <v>1</v>
      </c>
      <c r="H17" s="1190">
        <v>2</v>
      </c>
      <c r="I17" s="1190">
        <v>0</v>
      </c>
      <c r="J17" s="1190" t="s">
        <v>1914</v>
      </c>
    </row>
    <row r="18" spans="1:10" ht="12.75" customHeight="1">
      <c r="A18" s="88" t="s">
        <v>1915</v>
      </c>
    </row>
    <row r="19" spans="1:10" ht="12.75" customHeight="1">
      <c r="A19" s="89" t="s">
        <v>1916</v>
      </c>
      <c r="B19" s="565"/>
      <c r="C19" s="566"/>
      <c r="D19" s="566"/>
      <c r="E19" s="566"/>
      <c r="F19" s="455">
        <f>SUM(C19:E19)</f>
        <v>0</v>
      </c>
      <c r="G19" s="564"/>
      <c r="H19" s="564"/>
      <c r="I19" s="455">
        <f>SUM(G19:H19)</f>
        <v>0</v>
      </c>
      <c r="J19" s="1188" t="s">
        <v>1917</v>
      </c>
    </row>
    <row r="20" spans="1:10" ht="12.75" customHeight="1">
      <c r="A20" s="90" t="s">
        <v>1918</v>
      </c>
      <c r="B20" s="566">
        <v>2</v>
      </c>
      <c r="C20" s="566">
        <v>0</v>
      </c>
      <c r="D20" s="566">
        <v>0</v>
      </c>
      <c r="E20" s="566">
        <v>0</v>
      </c>
      <c r="F20" s="455">
        <f>SUM(C20:E20)</f>
        <v>0</v>
      </c>
      <c r="G20" s="564">
        <v>2</v>
      </c>
      <c r="H20" s="564">
        <v>0</v>
      </c>
      <c r="I20" s="455">
        <f>SUM(G20:H20)</f>
        <v>2</v>
      </c>
      <c r="J20" s="1188" t="s">
        <v>1919</v>
      </c>
    </row>
    <row r="21" spans="1:10" ht="12.75" customHeight="1">
      <c r="A21" s="89" t="s">
        <v>1920</v>
      </c>
      <c r="B21" s="566">
        <v>3</v>
      </c>
      <c r="C21" s="566">
        <v>0</v>
      </c>
      <c r="D21" s="566">
        <v>0</v>
      </c>
      <c r="E21" s="566">
        <v>0</v>
      </c>
      <c r="F21" s="455">
        <f>SUM(C21:E21)</f>
        <v>0</v>
      </c>
      <c r="G21" s="564">
        <v>1</v>
      </c>
      <c r="H21" s="564">
        <v>2</v>
      </c>
      <c r="I21" s="455">
        <f>SUM(G21:H21)</f>
        <v>3</v>
      </c>
      <c r="J21" s="1188" t="s">
        <v>1921</v>
      </c>
    </row>
    <row r="22" spans="1:10" ht="12.75" customHeight="1">
      <c r="A22" s="89" t="s">
        <v>1922</v>
      </c>
      <c r="B22" s="566"/>
      <c r="C22" s="566"/>
      <c r="D22" s="566"/>
      <c r="E22" s="566"/>
      <c r="F22" s="455">
        <f>SUM(C22:E22)</f>
        <v>0</v>
      </c>
      <c r="G22" s="564"/>
      <c r="H22" s="564"/>
      <c r="I22" s="455">
        <f>SUM(G22:H22)</f>
        <v>0</v>
      </c>
      <c r="J22" s="1188" t="s">
        <v>1923</v>
      </c>
    </row>
    <row r="23" spans="1:10" ht="12.75" customHeight="1">
      <c r="A23" s="456" t="s">
        <v>1924</v>
      </c>
      <c r="B23" s="455">
        <f t="shared" ref="B23:I23" si="0">SUM(B19:B22)</f>
        <v>5</v>
      </c>
      <c r="C23" s="455">
        <f t="shared" si="0"/>
        <v>0</v>
      </c>
      <c r="D23" s="455">
        <f t="shared" si="0"/>
        <v>0</v>
      </c>
      <c r="E23" s="455">
        <f t="shared" si="0"/>
        <v>0</v>
      </c>
      <c r="F23" s="455">
        <f t="shared" si="0"/>
        <v>0</v>
      </c>
      <c r="G23" s="455">
        <f t="shared" si="0"/>
        <v>3</v>
      </c>
      <c r="H23" s="455">
        <f t="shared" si="0"/>
        <v>2</v>
      </c>
      <c r="I23" s="455">
        <f t="shared" si="0"/>
        <v>5</v>
      </c>
      <c r="J23" s="1188" t="s">
        <v>1925</v>
      </c>
    </row>
    <row r="25" spans="1:10" ht="12.75" customHeight="1">
      <c r="A25" s="89" t="s">
        <v>2068</v>
      </c>
      <c r="B25" s="566">
        <v>12</v>
      </c>
      <c r="C25" s="566">
        <v>0</v>
      </c>
      <c r="D25" s="566">
        <v>0</v>
      </c>
      <c r="E25" s="566">
        <v>0</v>
      </c>
      <c r="F25" s="455">
        <f>SUM(C25:E25)</f>
        <v>0</v>
      </c>
      <c r="G25" s="564">
        <v>6</v>
      </c>
      <c r="H25" s="564">
        <v>6</v>
      </c>
      <c r="I25" s="455">
        <f>SUM(G25:H25)</f>
        <v>12</v>
      </c>
      <c r="J25" s="1192" t="s">
        <v>1764</v>
      </c>
    </row>
    <row r="26" spans="1:10" ht="12.75" customHeight="1">
      <c r="A26" s="89" t="s">
        <v>1926</v>
      </c>
      <c r="B26" s="566">
        <v>9</v>
      </c>
      <c r="C26" s="566">
        <v>0</v>
      </c>
      <c r="D26" s="566">
        <v>0</v>
      </c>
      <c r="E26" s="566">
        <v>0</v>
      </c>
      <c r="F26" s="455">
        <f>SUM(C26:E26)</f>
        <v>0</v>
      </c>
      <c r="G26" s="564">
        <v>3</v>
      </c>
      <c r="H26" s="564">
        <v>6</v>
      </c>
      <c r="I26" s="455">
        <f>SUM(G26:H26)</f>
        <v>9</v>
      </c>
      <c r="J26" s="1192" t="s">
        <v>1927</v>
      </c>
    </row>
    <row r="27" spans="1:10" ht="12.75" customHeight="1">
      <c r="A27" s="89" t="s">
        <v>1928</v>
      </c>
      <c r="B27" s="566">
        <v>44</v>
      </c>
      <c r="C27" s="566">
        <v>0</v>
      </c>
      <c r="D27" s="566">
        <v>0</v>
      </c>
      <c r="E27" s="566">
        <v>0</v>
      </c>
      <c r="F27" s="455">
        <f>SUM(C27:E27)</f>
        <v>0</v>
      </c>
      <c r="G27" s="564">
        <v>16</v>
      </c>
      <c r="H27" s="564">
        <v>28</v>
      </c>
      <c r="I27" s="455">
        <f>SUM(G27:H27)</f>
        <v>44</v>
      </c>
      <c r="J27" s="1192" t="s">
        <v>1929</v>
      </c>
    </row>
    <row r="28" spans="1:10" ht="12.75" customHeight="1">
      <c r="A28" s="89" t="s">
        <v>1930</v>
      </c>
      <c r="B28" s="566">
        <v>64</v>
      </c>
      <c r="C28" s="566">
        <v>0</v>
      </c>
      <c r="D28" s="566">
        <v>0</v>
      </c>
      <c r="E28" s="566">
        <v>0</v>
      </c>
      <c r="F28" s="455">
        <f>SUM(C28:E28)</f>
        <v>0</v>
      </c>
      <c r="G28" s="564">
        <v>29</v>
      </c>
      <c r="H28" s="564">
        <v>35</v>
      </c>
      <c r="I28" s="455">
        <f>SUM(G28:H28)</f>
        <v>64</v>
      </c>
      <c r="J28" s="1192" t="s">
        <v>1931</v>
      </c>
    </row>
    <row r="29" spans="1:10" ht="12.75" customHeight="1">
      <c r="A29" s="89" t="s">
        <v>1932</v>
      </c>
      <c r="B29" s="566"/>
      <c r="C29" s="566"/>
      <c r="D29" s="566"/>
      <c r="E29" s="566"/>
      <c r="F29" s="455">
        <f>SUM(C29:E29)</f>
        <v>0</v>
      </c>
      <c r="G29" s="564"/>
      <c r="H29" s="564"/>
      <c r="I29" s="455">
        <f>SUM(G29:H29)</f>
        <v>0</v>
      </c>
      <c r="J29" s="1192" t="s">
        <v>1933</v>
      </c>
    </row>
    <row r="30" spans="1:10" ht="12.75" customHeight="1">
      <c r="A30" s="456" t="s">
        <v>1934</v>
      </c>
      <c r="B30" s="455">
        <f t="shared" ref="B30:I30" si="1">SUM(B25:B29)</f>
        <v>129</v>
      </c>
      <c r="C30" s="455">
        <f t="shared" si="1"/>
        <v>0</v>
      </c>
      <c r="D30" s="455">
        <f t="shared" si="1"/>
        <v>0</v>
      </c>
      <c r="E30" s="455">
        <f t="shared" si="1"/>
        <v>0</v>
      </c>
      <c r="F30" s="455">
        <f t="shared" si="1"/>
        <v>0</v>
      </c>
      <c r="G30" s="455">
        <f t="shared" si="1"/>
        <v>54</v>
      </c>
      <c r="H30" s="455">
        <f t="shared" si="1"/>
        <v>75</v>
      </c>
      <c r="I30" s="455">
        <f t="shared" si="1"/>
        <v>129</v>
      </c>
      <c r="J30" s="1192" t="s">
        <v>1935</v>
      </c>
    </row>
    <row r="32" spans="1:10" ht="12.75" customHeight="1">
      <c r="A32" s="89" t="s">
        <v>1936</v>
      </c>
      <c r="B32" s="566"/>
      <c r="C32" s="566"/>
      <c r="D32" s="566"/>
      <c r="E32" s="566"/>
      <c r="F32" s="455">
        <f>SUM(C32:E32)</f>
        <v>0</v>
      </c>
      <c r="G32" s="564"/>
      <c r="H32" s="564"/>
      <c r="I32" s="455">
        <f>SUM(G32:H32)</f>
        <v>0</v>
      </c>
      <c r="J32" s="1188" t="s">
        <v>1937</v>
      </c>
    </row>
    <row r="33" spans="1:10" ht="12.75" customHeight="1">
      <c r="A33" s="457" t="s">
        <v>1938</v>
      </c>
      <c r="B33" s="455">
        <f t="shared" ref="B33:I33" si="2">SUM(B32:B32)</f>
        <v>0</v>
      </c>
      <c r="C33" s="455">
        <f t="shared" si="2"/>
        <v>0</v>
      </c>
      <c r="D33" s="455">
        <f t="shared" si="2"/>
        <v>0</v>
      </c>
      <c r="E33" s="455">
        <f t="shared" si="2"/>
        <v>0</v>
      </c>
      <c r="F33" s="455">
        <f t="shared" si="2"/>
        <v>0</v>
      </c>
      <c r="G33" s="455">
        <f t="shared" si="2"/>
        <v>0</v>
      </c>
      <c r="H33" s="455">
        <f t="shared" si="2"/>
        <v>0</v>
      </c>
      <c r="I33" s="455">
        <f t="shared" si="2"/>
        <v>0</v>
      </c>
      <c r="J33" s="1188" t="s">
        <v>1939</v>
      </c>
    </row>
    <row r="35" spans="1:10" ht="12.75" customHeight="1">
      <c r="A35" s="89" t="s">
        <v>1940</v>
      </c>
      <c r="B35" s="566">
        <v>51</v>
      </c>
      <c r="C35" s="566">
        <v>0</v>
      </c>
      <c r="D35" s="566">
        <v>0</v>
      </c>
      <c r="E35" s="566">
        <v>0</v>
      </c>
      <c r="F35" s="455">
        <f>SUM(C35:E35)</f>
        <v>0</v>
      </c>
      <c r="G35" s="564">
        <v>11</v>
      </c>
      <c r="H35" s="564">
        <v>40</v>
      </c>
      <c r="I35" s="455">
        <f>SUM(G35:H35)</f>
        <v>51</v>
      </c>
      <c r="J35" s="1188" t="s">
        <v>990</v>
      </c>
    </row>
    <row r="36" spans="1:10" ht="12.75" customHeight="1">
      <c r="A36" s="89" t="s">
        <v>991</v>
      </c>
      <c r="B36" s="566">
        <v>25</v>
      </c>
      <c r="C36" s="566">
        <v>0</v>
      </c>
      <c r="D36" s="566">
        <v>0</v>
      </c>
      <c r="E36" s="566">
        <v>0</v>
      </c>
      <c r="F36" s="455">
        <f>SUM(C36:E36)</f>
        <v>0</v>
      </c>
      <c r="G36" s="564">
        <v>6</v>
      </c>
      <c r="H36" s="564">
        <v>19</v>
      </c>
      <c r="I36" s="455">
        <f>SUM(G36:H36)</f>
        <v>25</v>
      </c>
      <c r="J36" s="1188" t="s">
        <v>992</v>
      </c>
    </row>
    <row r="37" spans="1:10" ht="12.75" customHeight="1">
      <c r="A37" s="89" t="s">
        <v>993</v>
      </c>
      <c r="B37" s="566"/>
      <c r="C37" s="566"/>
      <c r="D37" s="566"/>
      <c r="E37" s="566"/>
      <c r="F37" s="455">
        <f>SUM(C37:E37)</f>
        <v>0</v>
      </c>
      <c r="G37" s="564"/>
      <c r="H37" s="564"/>
      <c r="I37" s="455">
        <f>SUM(G37:H37)</f>
        <v>0</v>
      </c>
      <c r="J37" s="1188" t="s">
        <v>994</v>
      </c>
    </row>
    <row r="38" spans="1:10" ht="12.75" customHeight="1">
      <c r="A38" s="89" t="s">
        <v>995</v>
      </c>
      <c r="B38" s="566">
        <v>57</v>
      </c>
      <c r="C38" s="566">
        <v>0</v>
      </c>
      <c r="D38" s="566">
        <v>0</v>
      </c>
      <c r="E38" s="566">
        <v>1</v>
      </c>
      <c r="F38" s="455">
        <f>SUM(C38:E38)</f>
        <v>1</v>
      </c>
      <c r="G38" s="564">
        <v>5</v>
      </c>
      <c r="H38" s="564">
        <v>53</v>
      </c>
      <c r="I38" s="455">
        <f>SUM(G38:H38)</f>
        <v>58</v>
      </c>
      <c r="J38" s="1188" t="s">
        <v>996</v>
      </c>
    </row>
    <row r="39" spans="1:10" ht="12.75" customHeight="1">
      <c r="A39" s="89" t="s">
        <v>997</v>
      </c>
      <c r="B39" s="566"/>
      <c r="C39" s="566"/>
      <c r="D39" s="566"/>
      <c r="E39" s="566"/>
      <c r="F39" s="455">
        <f>SUM(C39:E39)</f>
        <v>0</v>
      </c>
      <c r="G39" s="564"/>
      <c r="H39" s="564"/>
      <c r="I39" s="455">
        <f>SUM(G39:H39)</f>
        <v>0</v>
      </c>
      <c r="J39" s="1188" t="s">
        <v>998</v>
      </c>
    </row>
    <row r="40" spans="1:10" ht="12.75" customHeight="1">
      <c r="A40" s="456" t="s">
        <v>999</v>
      </c>
      <c r="B40" s="455">
        <f t="shared" ref="B40:I40" si="3">SUM(B35:B39)</f>
        <v>133</v>
      </c>
      <c r="C40" s="455">
        <f t="shared" si="3"/>
        <v>0</v>
      </c>
      <c r="D40" s="455">
        <f t="shared" si="3"/>
        <v>0</v>
      </c>
      <c r="E40" s="455">
        <f t="shared" si="3"/>
        <v>1</v>
      </c>
      <c r="F40" s="455">
        <f t="shared" si="3"/>
        <v>1</v>
      </c>
      <c r="G40" s="455">
        <f t="shared" si="3"/>
        <v>22</v>
      </c>
      <c r="H40" s="455">
        <f t="shared" si="3"/>
        <v>112</v>
      </c>
      <c r="I40" s="455">
        <f t="shared" si="3"/>
        <v>134</v>
      </c>
      <c r="J40" s="1188" t="s">
        <v>1000</v>
      </c>
    </row>
    <row r="42" spans="1:10" ht="12.75" customHeight="1">
      <c r="A42" s="89" t="s">
        <v>1001</v>
      </c>
      <c r="B42" s="566">
        <v>158</v>
      </c>
      <c r="C42" s="566">
        <v>0</v>
      </c>
      <c r="D42" s="566">
        <v>0</v>
      </c>
      <c r="E42" s="566">
        <v>0</v>
      </c>
      <c r="F42" s="455">
        <f>SUM(C42:E42)</f>
        <v>0</v>
      </c>
      <c r="G42" s="564">
        <v>22</v>
      </c>
      <c r="H42" s="564">
        <v>136</v>
      </c>
      <c r="I42" s="455">
        <f>SUM(G42:H42)</f>
        <v>158</v>
      </c>
      <c r="J42" s="1188" t="s">
        <v>1765</v>
      </c>
    </row>
    <row r="43" spans="1:10" ht="12.75" customHeight="1">
      <c r="A43" s="89" t="s">
        <v>1002</v>
      </c>
      <c r="B43" s="566">
        <v>370</v>
      </c>
      <c r="C43" s="566">
        <v>0</v>
      </c>
      <c r="D43" s="566">
        <v>6</v>
      </c>
      <c r="E43" s="566">
        <v>0</v>
      </c>
      <c r="F43" s="455">
        <f>SUM(C43:E43)</f>
        <v>6</v>
      </c>
      <c r="G43" s="564">
        <v>59</v>
      </c>
      <c r="H43" s="564">
        <v>317</v>
      </c>
      <c r="I43" s="455">
        <f>SUM(G43:H43)</f>
        <v>376</v>
      </c>
      <c r="J43" s="1188" t="s">
        <v>1003</v>
      </c>
    </row>
    <row r="44" spans="1:10" ht="12.75" customHeight="1">
      <c r="A44" s="89" t="s">
        <v>2069</v>
      </c>
      <c r="B44" s="566"/>
      <c r="C44" s="566"/>
      <c r="D44" s="566"/>
      <c r="E44" s="566"/>
      <c r="F44" s="455">
        <f>SUM(C44:E44)</f>
        <v>0</v>
      </c>
      <c r="G44" s="564"/>
      <c r="H44" s="564"/>
      <c r="I44" s="455">
        <f>SUM(G44:H44)</f>
        <v>0</v>
      </c>
      <c r="J44" s="1188" t="s">
        <v>1766</v>
      </c>
    </row>
    <row r="45" spans="1:10" ht="12.75" customHeight="1">
      <c r="A45" s="89" t="s">
        <v>2070</v>
      </c>
      <c r="B45" s="566">
        <v>297</v>
      </c>
      <c r="C45" s="566">
        <v>0</v>
      </c>
      <c r="D45" s="566">
        <v>26</v>
      </c>
      <c r="E45" s="566">
        <v>1</v>
      </c>
      <c r="F45" s="455">
        <f>SUM(C45:E45)</f>
        <v>27</v>
      </c>
      <c r="G45" s="564">
        <v>80</v>
      </c>
      <c r="H45" s="564">
        <v>244</v>
      </c>
      <c r="I45" s="455">
        <f>SUM(G45:H45)</f>
        <v>324</v>
      </c>
      <c r="J45" s="1188" t="s">
        <v>1004</v>
      </c>
    </row>
    <row r="46" spans="1:10" ht="12.75" customHeight="1">
      <c r="A46" s="89" t="s">
        <v>2071</v>
      </c>
      <c r="B46" s="566"/>
      <c r="C46" s="566"/>
      <c r="D46" s="566"/>
      <c r="E46" s="566"/>
      <c r="F46" s="455">
        <f>SUM(C46:E46)</f>
        <v>0</v>
      </c>
      <c r="G46" s="564"/>
      <c r="H46" s="564"/>
      <c r="I46" s="455">
        <f>SUM(G46:H46)</f>
        <v>0</v>
      </c>
      <c r="J46" s="1188" t="s">
        <v>1005</v>
      </c>
    </row>
    <row r="47" spans="1:10" ht="12.75" customHeight="1">
      <c r="A47" s="456" t="s">
        <v>1850</v>
      </c>
      <c r="B47" s="455">
        <f t="shared" ref="B47:I47" si="4">SUM(B42:B46)</f>
        <v>825</v>
      </c>
      <c r="C47" s="455">
        <f t="shared" si="4"/>
        <v>0</v>
      </c>
      <c r="D47" s="455">
        <f t="shared" si="4"/>
        <v>32</v>
      </c>
      <c r="E47" s="455">
        <f t="shared" si="4"/>
        <v>1</v>
      </c>
      <c r="F47" s="455">
        <f t="shared" si="4"/>
        <v>33</v>
      </c>
      <c r="G47" s="455">
        <f t="shared" si="4"/>
        <v>161</v>
      </c>
      <c r="H47" s="455">
        <f t="shared" si="4"/>
        <v>697</v>
      </c>
      <c r="I47" s="455">
        <f t="shared" si="4"/>
        <v>858</v>
      </c>
      <c r="J47" s="1188" t="s">
        <v>1851</v>
      </c>
    </row>
    <row r="49" spans="1:10" ht="12.75" customHeight="1">
      <c r="A49" s="457" t="s">
        <v>1915</v>
      </c>
      <c r="B49" s="455">
        <f t="shared" ref="B49:I49" si="5">B23+B30+B33+B40+B47</f>
        <v>1092</v>
      </c>
      <c r="C49" s="455">
        <f t="shared" si="5"/>
        <v>0</v>
      </c>
      <c r="D49" s="455">
        <f t="shared" si="5"/>
        <v>32</v>
      </c>
      <c r="E49" s="455">
        <f t="shared" si="5"/>
        <v>2</v>
      </c>
      <c r="F49" s="455">
        <f t="shared" si="5"/>
        <v>34</v>
      </c>
      <c r="G49" s="455">
        <f t="shared" si="5"/>
        <v>240</v>
      </c>
      <c r="H49" s="455">
        <f t="shared" si="5"/>
        <v>886</v>
      </c>
      <c r="I49" s="455">
        <f t="shared" si="5"/>
        <v>1126</v>
      </c>
      <c r="J49" s="1188" t="s">
        <v>1852</v>
      </c>
    </row>
    <row r="51" spans="1:10" ht="12.75" customHeight="1">
      <c r="A51" s="88" t="s">
        <v>673</v>
      </c>
    </row>
    <row r="52" spans="1:10" ht="12.75" customHeight="1">
      <c r="A52" s="89" t="s">
        <v>1095</v>
      </c>
      <c r="B52" s="566">
        <v>1</v>
      </c>
      <c r="C52" s="566">
        <v>0</v>
      </c>
      <c r="D52" s="566">
        <v>0</v>
      </c>
      <c r="E52" s="566">
        <v>0</v>
      </c>
      <c r="F52" s="455">
        <f>SUM(C52:E52)</f>
        <v>0</v>
      </c>
      <c r="G52" s="564">
        <v>1</v>
      </c>
      <c r="H52" s="564">
        <v>0</v>
      </c>
      <c r="I52" s="455">
        <f>SUM(G52:H52)</f>
        <v>1</v>
      </c>
      <c r="J52" s="1188" t="s">
        <v>1767</v>
      </c>
    </row>
    <row r="53" spans="1:10" ht="12.75" customHeight="1">
      <c r="A53" s="89" t="s">
        <v>1096</v>
      </c>
      <c r="B53" s="566">
        <v>5</v>
      </c>
      <c r="C53" s="566">
        <v>0</v>
      </c>
      <c r="D53" s="566">
        <v>0</v>
      </c>
      <c r="E53" s="566">
        <v>0</v>
      </c>
      <c r="F53" s="455">
        <f>SUM(C53:E53)</f>
        <v>0</v>
      </c>
      <c r="G53" s="564">
        <v>4</v>
      </c>
      <c r="H53" s="564">
        <v>1</v>
      </c>
      <c r="I53" s="455">
        <f>SUM(G53:H53)</f>
        <v>5</v>
      </c>
      <c r="J53" s="1188" t="s">
        <v>1768</v>
      </c>
    </row>
    <row r="54" spans="1:10" ht="12.75" customHeight="1">
      <c r="A54" s="89" t="s">
        <v>1097</v>
      </c>
      <c r="B54" s="566">
        <v>8</v>
      </c>
      <c r="C54" s="566">
        <v>0</v>
      </c>
      <c r="D54" s="566">
        <v>0</v>
      </c>
      <c r="E54" s="566">
        <v>0</v>
      </c>
      <c r="F54" s="455">
        <f>SUM(C54:E54)</f>
        <v>0</v>
      </c>
      <c r="G54" s="564">
        <v>2</v>
      </c>
      <c r="H54" s="564">
        <v>6</v>
      </c>
      <c r="I54" s="455">
        <f t="shared" ref="I54:I61" si="6">SUM(G54:H54)</f>
        <v>8</v>
      </c>
      <c r="J54" s="1188" t="s">
        <v>1769</v>
      </c>
    </row>
    <row r="55" spans="1:10" ht="12.75" customHeight="1">
      <c r="A55" s="89" t="s">
        <v>674</v>
      </c>
      <c r="B55" s="566"/>
      <c r="C55" s="566"/>
      <c r="D55" s="566"/>
      <c r="E55" s="566"/>
      <c r="F55" s="455">
        <f>SUM(C55:E55)</f>
        <v>0</v>
      </c>
      <c r="G55" s="564"/>
      <c r="H55" s="564"/>
      <c r="I55" s="455">
        <f t="shared" si="6"/>
        <v>0</v>
      </c>
      <c r="J55" s="1188" t="s">
        <v>1770</v>
      </c>
    </row>
    <row r="56" spans="1:10" ht="12.75" customHeight="1">
      <c r="A56" s="457" t="s">
        <v>1094</v>
      </c>
      <c r="B56" s="455">
        <f>SUM(B52:B55)</f>
        <v>14</v>
      </c>
      <c r="C56" s="455">
        <f t="shared" ref="C56:I56" si="7">SUM(C52:C55)</f>
        <v>0</v>
      </c>
      <c r="D56" s="455">
        <f t="shared" si="7"/>
        <v>0</v>
      </c>
      <c r="E56" s="455">
        <f t="shared" si="7"/>
        <v>0</v>
      </c>
      <c r="F56" s="455">
        <f t="shared" si="7"/>
        <v>0</v>
      </c>
      <c r="G56" s="455">
        <f t="shared" si="7"/>
        <v>7</v>
      </c>
      <c r="H56" s="455">
        <f t="shared" si="7"/>
        <v>7</v>
      </c>
      <c r="I56" s="455">
        <f t="shared" si="7"/>
        <v>14</v>
      </c>
      <c r="J56" s="1188" t="s">
        <v>1248</v>
      </c>
    </row>
    <row r="58" spans="1:10" ht="12.75" customHeight="1">
      <c r="A58" s="89" t="s">
        <v>1098</v>
      </c>
      <c r="B58" s="566">
        <v>1</v>
      </c>
      <c r="C58" s="566">
        <v>0</v>
      </c>
      <c r="D58" s="566">
        <v>0</v>
      </c>
      <c r="E58" s="566">
        <v>0</v>
      </c>
      <c r="F58" s="455">
        <f>SUM(C58:E58)</f>
        <v>0</v>
      </c>
      <c r="G58" s="564">
        <v>1</v>
      </c>
      <c r="H58" s="564">
        <v>0</v>
      </c>
      <c r="I58" s="455">
        <f t="shared" si="6"/>
        <v>1</v>
      </c>
      <c r="J58" s="1188" t="s">
        <v>1771</v>
      </c>
    </row>
    <row r="59" spans="1:10" ht="12.75" customHeight="1">
      <c r="A59" s="90" t="s">
        <v>675</v>
      </c>
      <c r="B59" s="1019">
        <v>22</v>
      </c>
      <c r="C59" s="1019">
        <v>0</v>
      </c>
      <c r="D59" s="1019">
        <v>0</v>
      </c>
      <c r="E59" s="1019">
        <v>0</v>
      </c>
      <c r="F59" s="455">
        <f>SUM(C59:E59)</f>
        <v>0</v>
      </c>
      <c r="G59" s="567">
        <v>14</v>
      </c>
      <c r="H59" s="564">
        <v>8</v>
      </c>
      <c r="I59" s="455">
        <f t="shared" si="6"/>
        <v>22</v>
      </c>
      <c r="J59" s="1188" t="s">
        <v>1772</v>
      </c>
    </row>
    <row r="60" spans="1:10" ht="12.75" customHeight="1">
      <c r="A60" s="89" t="s">
        <v>676</v>
      </c>
      <c r="B60" s="566">
        <v>11</v>
      </c>
      <c r="C60" s="566">
        <v>0</v>
      </c>
      <c r="D60" s="566">
        <v>0</v>
      </c>
      <c r="E60" s="566">
        <v>0</v>
      </c>
      <c r="F60" s="455">
        <f>SUM(C60:E60)</f>
        <v>0</v>
      </c>
      <c r="G60" s="564">
        <v>8</v>
      </c>
      <c r="H60" s="564">
        <v>3</v>
      </c>
      <c r="I60" s="455">
        <f t="shared" si="6"/>
        <v>11</v>
      </c>
      <c r="J60" s="1188" t="s">
        <v>1773</v>
      </c>
    </row>
    <row r="61" spans="1:10" ht="12.75" customHeight="1">
      <c r="A61" s="89" t="s">
        <v>677</v>
      </c>
      <c r="B61" s="566"/>
      <c r="C61" s="566"/>
      <c r="D61" s="566"/>
      <c r="E61" s="566"/>
      <c r="F61" s="455">
        <f>SUM(C61:E61)</f>
        <v>0</v>
      </c>
      <c r="G61" s="564"/>
      <c r="H61" s="564"/>
      <c r="I61" s="455">
        <f t="shared" si="6"/>
        <v>0</v>
      </c>
      <c r="J61" s="1188" t="s">
        <v>1774</v>
      </c>
    </row>
    <row r="62" spans="1:10" ht="12.75" customHeight="1">
      <c r="A62" s="457" t="s">
        <v>678</v>
      </c>
      <c r="B62" s="455">
        <f>SUM(B58:B61)</f>
        <v>34</v>
      </c>
      <c r="C62" s="455">
        <f t="shared" ref="C62:I62" si="8">SUM(C58:C61)</f>
        <v>0</v>
      </c>
      <c r="D62" s="455">
        <f t="shared" si="8"/>
        <v>0</v>
      </c>
      <c r="E62" s="455">
        <f t="shared" si="8"/>
        <v>0</v>
      </c>
      <c r="F62" s="455">
        <f t="shared" si="8"/>
        <v>0</v>
      </c>
      <c r="G62" s="455">
        <f t="shared" si="8"/>
        <v>23</v>
      </c>
      <c r="H62" s="455">
        <f t="shared" si="8"/>
        <v>11</v>
      </c>
      <c r="I62" s="455">
        <f t="shared" si="8"/>
        <v>34</v>
      </c>
      <c r="J62" s="1188" t="s">
        <v>1775</v>
      </c>
    </row>
    <row r="64" spans="1:10" ht="12.75" customHeight="1">
      <c r="A64" s="89" t="s">
        <v>679</v>
      </c>
      <c r="B64" s="566">
        <v>26</v>
      </c>
      <c r="C64" s="566">
        <v>0</v>
      </c>
      <c r="D64" s="566">
        <v>0</v>
      </c>
      <c r="E64" s="566">
        <v>0</v>
      </c>
      <c r="F64" s="455">
        <f>SUM(C64:E64)</f>
        <v>0</v>
      </c>
      <c r="G64" s="564">
        <v>21</v>
      </c>
      <c r="H64" s="564">
        <v>5</v>
      </c>
      <c r="I64" s="455">
        <f>SUM(G64:H64)</f>
        <v>26</v>
      </c>
      <c r="J64" s="1188" t="s">
        <v>680</v>
      </c>
    </row>
    <row r="65" spans="1:10" ht="12.75" customHeight="1">
      <c r="A65" s="89" t="s">
        <v>681</v>
      </c>
      <c r="B65" s="566">
        <v>20</v>
      </c>
      <c r="C65" s="566">
        <v>0</v>
      </c>
      <c r="D65" s="566">
        <v>0</v>
      </c>
      <c r="E65" s="566">
        <v>0</v>
      </c>
      <c r="F65" s="455">
        <f>SUM(C65:E65)</f>
        <v>0</v>
      </c>
      <c r="G65" s="564">
        <v>16</v>
      </c>
      <c r="H65" s="564">
        <v>4</v>
      </c>
      <c r="I65" s="455">
        <f>SUM(G65:H65)</f>
        <v>20</v>
      </c>
      <c r="J65" s="1188" t="s">
        <v>682</v>
      </c>
    </row>
    <row r="66" spans="1:10" ht="12.75" customHeight="1">
      <c r="A66" s="89" t="s">
        <v>2193</v>
      </c>
      <c r="B66" s="566"/>
      <c r="C66" s="566"/>
      <c r="D66" s="566"/>
      <c r="E66" s="566"/>
      <c r="F66" s="455">
        <f>SUM(C66:E66)</f>
        <v>0</v>
      </c>
      <c r="G66" s="564"/>
      <c r="H66" s="564"/>
      <c r="I66" s="455">
        <f>SUM(G66:H66)</f>
        <v>0</v>
      </c>
      <c r="J66" s="1188" t="s">
        <v>2194</v>
      </c>
    </row>
    <row r="67" spans="1:10" ht="12.75" customHeight="1">
      <c r="A67" s="89" t="s">
        <v>2195</v>
      </c>
      <c r="B67" s="566">
        <v>16</v>
      </c>
      <c r="C67" s="566">
        <v>0</v>
      </c>
      <c r="D67" s="566">
        <v>0</v>
      </c>
      <c r="E67" s="566">
        <v>0</v>
      </c>
      <c r="F67" s="455">
        <f>SUM(C67:E67)</f>
        <v>0</v>
      </c>
      <c r="G67" s="564">
        <v>14</v>
      </c>
      <c r="H67" s="564">
        <v>2</v>
      </c>
      <c r="I67" s="455">
        <f>SUM(G67:H67)</f>
        <v>16</v>
      </c>
      <c r="J67" s="1188" t="s">
        <v>2196</v>
      </c>
    </row>
    <row r="68" spans="1:10" ht="12.75" customHeight="1">
      <c r="A68" s="89" t="s">
        <v>2197</v>
      </c>
      <c r="B68" s="566"/>
      <c r="C68" s="566"/>
      <c r="D68" s="566"/>
      <c r="E68" s="566"/>
      <c r="F68" s="455">
        <f>SUM(C68:E68)</f>
        <v>0</v>
      </c>
      <c r="G68" s="564"/>
      <c r="H68" s="564"/>
      <c r="I68" s="455">
        <f>SUM(G68:H68)</f>
        <v>0</v>
      </c>
      <c r="J68" s="1188" t="s">
        <v>2198</v>
      </c>
    </row>
    <row r="69" spans="1:10" ht="12.75" customHeight="1">
      <c r="A69" s="457" t="s">
        <v>2199</v>
      </c>
      <c r="B69" s="455">
        <f t="shared" ref="B69:I69" si="9">SUM(B64:B68)</f>
        <v>62</v>
      </c>
      <c r="C69" s="455">
        <f t="shared" si="9"/>
        <v>0</v>
      </c>
      <c r="D69" s="455">
        <f t="shared" si="9"/>
        <v>0</v>
      </c>
      <c r="E69" s="455">
        <f t="shared" si="9"/>
        <v>0</v>
      </c>
      <c r="F69" s="455">
        <f t="shared" si="9"/>
        <v>0</v>
      </c>
      <c r="G69" s="455">
        <f t="shared" si="9"/>
        <v>51</v>
      </c>
      <c r="H69" s="455">
        <f t="shared" si="9"/>
        <v>11</v>
      </c>
      <c r="I69" s="455">
        <f t="shared" si="9"/>
        <v>62</v>
      </c>
      <c r="J69" s="1188" t="s">
        <v>2200</v>
      </c>
    </row>
    <row r="71" spans="1:10" ht="12.75" customHeight="1">
      <c r="A71" s="89" t="s">
        <v>2201</v>
      </c>
      <c r="B71" s="566">
        <v>182</v>
      </c>
      <c r="C71" s="566">
        <v>0</v>
      </c>
      <c r="D71" s="566">
        <v>0</v>
      </c>
      <c r="E71" s="566">
        <v>0</v>
      </c>
      <c r="F71" s="455">
        <f>SUM(C71:E71)</f>
        <v>0</v>
      </c>
      <c r="G71" s="564">
        <v>163</v>
      </c>
      <c r="H71" s="564">
        <v>19</v>
      </c>
      <c r="I71" s="455">
        <f>SUM(G71:H71)</f>
        <v>182</v>
      </c>
      <c r="J71" s="1188" t="s">
        <v>2202</v>
      </c>
    </row>
    <row r="72" spans="1:10" ht="12.75" customHeight="1">
      <c r="A72" s="89" t="s">
        <v>2203</v>
      </c>
      <c r="B72" s="566">
        <v>254</v>
      </c>
      <c r="C72" s="566">
        <v>0</v>
      </c>
      <c r="D72" s="566">
        <v>1</v>
      </c>
      <c r="E72" s="566">
        <v>1</v>
      </c>
      <c r="F72" s="455">
        <f>SUM(C72:E72)</f>
        <v>2</v>
      </c>
      <c r="G72" s="564">
        <v>172</v>
      </c>
      <c r="H72" s="564">
        <v>84</v>
      </c>
      <c r="I72" s="455">
        <f>SUM(G72:H72)</f>
        <v>256</v>
      </c>
      <c r="J72" s="1188" t="s">
        <v>2204</v>
      </c>
    </row>
    <row r="73" spans="1:10" ht="12.75" customHeight="1">
      <c r="A73" s="89" t="s">
        <v>2205</v>
      </c>
      <c r="B73" s="566"/>
      <c r="C73" s="566"/>
      <c r="D73" s="566"/>
      <c r="E73" s="566"/>
      <c r="F73" s="455">
        <f>SUM(C73:E73)</f>
        <v>0</v>
      </c>
      <c r="G73" s="564"/>
      <c r="H73" s="564"/>
      <c r="I73" s="455">
        <f>SUM(G73:H73)</f>
        <v>0</v>
      </c>
      <c r="J73" s="1188" t="s">
        <v>2206</v>
      </c>
    </row>
    <row r="74" spans="1:10" ht="12.75" customHeight="1">
      <c r="A74" s="457" t="s">
        <v>2207</v>
      </c>
      <c r="B74" s="455">
        <f t="shared" ref="B74:I74" si="10">SUM(B71:B73)</f>
        <v>436</v>
      </c>
      <c r="C74" s="455">
        <f t="shared" si="10"/>
        <v>0</v>
      </c>
      <c r="D74" s="455">
        <f t="shared" si="10"/>
        <v>1</v>
      </c>
      <c r="E74" s="455">
        <f t="shared" si="10"/>
        <v>1</v>
      </c>
      <c r="F74" s="455">
        <f t="shared" si="10"/>
        <v>2</v>
      </c>
      <c r="G74" s="455">
        <f t="shared" si="10"/>
        <v>335</v>
      </c>
      <c r="H74" s="455">
        <f t="shared" si="10"/>
        <v>103</v>
      </c>
      <c r="I74" s="455">
        <f t="shared" si="10"/>
        <v>438</v>
      </c>
      <c r="J74" s="1188" t="s">
        <v>2208</v>
      </c>
    </row>
    <row r="76" spans="1:10" ht="12.75" customHeight="1">
      <c r="A76" s="89" t="s">
        <v>2209</v>
      </c>
      <c r="B76" s="566">
        <v>81</v>
      </c>
      <c r="C76" s="566">
        <v>0</v>
      </c>
      <c r="D76" s="566">
        <v>0</v>
      </c>
      <c r="E76" s="566">
        <v>0</v>
      </c>
      <c r="F76" s="455">
        <f>SUM(C76:E76)</f>
        <v>0</v>
      </c>
      <c r="G76" s="564">
        <v>72</v>
      </c>
      <c r="H76" s="564">
        <v>9</v>
      </c>
      <c r="I76" s="455">
        <f>SUM(G76:H76)</f>
        <v>81</v>
      </c>
      <c r="J76" s="1188" t="s">
        <v>1236</v>
      </c>
    </row>
    <row r="77" spans="1:10" ht="12.75" customHeight="1">
      <c r="A77" s="89" t="s">
        <v>1237</v>
      </c>
      <c r="B77" s="566">
        <v>353</v>
      </c>
      <c r="C77" s="566">
        <v>13</v>
      </c>
      <c r="D77" s="566">
        <v>25</v>
      </c>
      <c r="E77" s="566">
        <v>5</v>
      </c>
      <c r="F77" s="455">
        <f>SUM(C77:E77)</f>
        <v>43</v>
      </c>
      <c r="G77" s="564">
        <v>150</v>
      </c>
      <c r="H77" s="564">
        <v>246</v>
      </c>
      <c r="I77" s="455">
        <f>SUM(G77:H77)</f>
        <v>396</v>
      </c>
      <c r="J77" s="1188" t="s">
        <v>1238</v>
      </c>
    </row>
    <row r="78" spans="1:10" ht="12.75" customHeight="1">
      <c r="A78" s="89" t="s">
        <v>1245</v>
      </c>
      <c r="B78" s="566"/>
      <c r="C78" s="566"/>
      <c r="D78" s="566"/>
      <c r="E78" s="566"/>
      <c r="F78" s="455">
        <f>SUM(C78:E78)</f>
        <v>0</v>
      </c>
      <c r="G78" s="564"/>
      <c r="H78" s="564"/>
      <c r="I78" s="455">
        <f>SUM(G78:H78)</f>
        <v>0</v>
      </c>
      <c r="J78" s="1188" t="s">
        <v>1776</v>
      </c>
    </row>
    <row r="79" spans="1:10" ht="12.75" customHeight="1">
      <c r="A79" s="89" t="s">
        <v>2072</v>
      </c>
      <c r="B79" s="566">
        <v>634</v>
      </c>
      <c r="C79" s="566">
        <v>215</v>
      </c>
      <c r="D79" s="566">
        <v>141</v>
      </c>
      <c r="E79" s="566">
        <v>103</v>
      </c>
      <c r="F79" s="455">
        <f>SUM(C79:E79)</f>
        <v>459</v>
      </c>
      <c r="G79" s="564">
        <v>185</v>
      </c>
      <c r="H79" s="564">
        <v>908</v>
      </c>
      <c r="I79" s="455">
        <f>SUM(G79:H79)</f>
        <v>1093</v>
      </c>
      <c r="J79" s="1188" t="s">
        <v>1239</v>
      </c>
    </row>
    <row r="80" spans="1:10" ht="12.75" customHeight="1">
      <c r="A80" s="89" t="s">
        <v>2073</v>
      </c>
      <c r="B80" s="566"/>
      <c r="C80" s="566"/>
      <c r="D80" s="566"/>
      <c r="E80" s="566"/>
      <c r="F80" s="455">
        <f>SUM(C80:E80)</f>
        <v>0</v>
      </c>
      <c r="G80" s="564"/>
      <c r="H80" s="564"/>
      <c r="I80" s="455">
        <f>SUM(G80:H80)</f>
        <v>0</v>
      </c>
      <c r="J80" s="1188" t="s">
        <v>1240</v>
      </c>
    </row>
    <row r="81" spans="1:10" ht="12.75" customHeight="1">
      <c r="A81" s="457" t="s">
        <v>1241</v>
      </c>
      <c r="B81" s="455">
        <f t="shared" ref="B81:I81" si="11">SUM(B76:B80)</f>
        <v>1068</v>
      </c>
      <c r="C81" s="455">
        <f t="shared" si="11"/>
        <v>228</v>
      </c>
      <c r="D81" s="455">
        <f t="shared" si="11"/>
        <v>166</v>
      </c>
      <c r="E81" s="455">
        <f t="shared" si="11"/>
        <v>108</v>
      </c>
      <c r="F81" s="455">
        <f t="shared" si="11"/>
        <v>502</v>
      </c>
      <c r="G81" s="455">
        <f t="shared" si="11"/>
        <v>407</v>
      </c>
      <c r="H81" s="455">
        <f t="shared" si="11"/>
        <v>1163</v>
      </c>
      <c r="I81" s="455">
        <f t="shared" si="11"/>
        <v>1570</v>
      </c>
      <c r="J81" s="1188" t="s">
        <v>1242</v>
      </c>
    </row>
    <row r="83" spans="1:10" ht="12.75" customHeight="1">
      <c r="A83" s="89" t="s">
        <v>2209</v>
      </c>
      <c r="B83" s="566"/>
      <c r="C83" s="566"/>
      <c r="D83" s="566"/>
      <c r="E83" s="566"/>
      <c r="F83" s="455">
        <f>SUM(C83:E83)</f>
        <v>0</v>
      </c>
      <c r="G83" s="564"/>
      <c r="H83" s="564"/>
      <c r="I83" s="455">
        <f>SUM(G83:H83)</f>
        <v>0</v>
      </c>
      <c r="J83" s="1188" t="s">
        <v>1243</v>
      </c>
    </row>
    <row r="84" spans="1:10" ht="12.75" customHeight="1">
      <c r="A84" s="89" t="s">
        <v>1237</v>
      </c>
      <c r="B84" s="566"/>
      <c r="C84" s="566"/>
      <c r="D84" s="566"/>
      <c r="E84" s="566"/>
      <c r="F84" s="455">
        <f>SUM(C84:E84)</f>
        <v>0</v>
      </c>
      <c r="G84" s="564"/>
      <c r="H84" s="564"/>
      <c r="I84" s="455">
        <f>SUM(G84:H84)</f>
        <v>0</v>
      </c>
      <c r="J84" s="1188" t="s">
        <v>1244</v>
      </c>
    </row>
    <row r="85" spans="1:10" ht="12.75" customHeight="1">
      <c r="A85" s="89" t="s">
        <v>1245</v>
      </c>
      <c r="B85" s="566"/>
      <c r="C85" s="566"/>
      <c r="D85" s="566"/>
      <c r="E85" s="566"/>
      <c r="F85" s="455">
        <f>SUM(C85:E85)</f>
        <v>0</v>
      </c>
      <c r="G85" s="564"/>
      <c r="H85" s="564"/>
      <c r="I85" s="455">
        <f>SUM(G85:H85)</f>
        <v>0</v>
      </c>
      <c r="J85" s="1188" t="s">
        <v>1246</v>
      </c>
    </row>
    <row r="86" spans="1:10" ht="12.75" customHeight="1">
      <c r="A86" s="89" t="s">
        <v>2072</v>
      </c>
      <c r="B86" s="566"/>
      <c r="C86" s="566"/>
      <c r="D86" s="566"/>
      <c r="E86" s="566"/>
      <c r="F86" s="455">
        <f>SUM(C86:E86)</f>
        <v>0</v>
      </c>
      <c r="G86" s="564"/>
      <c r="H86" s="564"/>
      <c r="I86" s="455">
        <f>SUM(G86:H86)</f>
        <v>0</v>
      </c>
      <c r="J86" s="1188" t="s">
        <v>1777</v>
      </c>
    </row>
    <row r="87" spans="1:10" ht="12.75" customHeight="1">
      <c r="A87" s="89" t="s">
        <v>2073</v>
      </c>
      <c r="B87" s="566"/>
      <c r="C87" s="566"/>
      <c r="D87" s="566"/>
      <c r="E87" s="566"/>
      <c r="F87" s="455">
        <f>SUM(C87:E87)</f>
        <v>0</v>
      </c>
      <c r="G87" s="564"/>
      <c r="H87" s="564"/>
      <c r="I87" s="455">
        <f>SUM(G87:H87)</f>
        <v>0</v>
      </c>
      <c r="J87" s="1188" t="s">
        <v>1778</v>
      </c>
    </row>
    <row r="88" spans="1:10" ht="12.75" customHeight="1">
      <c r="A88" s="457" t="s">
        <v>1247</v>
      </c>
      <c r="B88" s="455">
        <f t="shared" ref="B88:I88" si="12">SUM(B83:B87)</f>
        <v>0</v>
      </c>
      <c r="C88" s="455">
        <f t="shared" si="12"/>
        <v>0</v>
      </c>
      <c r="D88" s="455">
        <f t="shared" si="12"/>
        <v>0</v>
      </c>
      <c r="E88" s="455">
        <f t="shared" si="12"/>
        <v>0</v>
      </c>
      <c r="F88" s="455">
        <f t="shared" si="12"/>
        <v>0</v>
      </c>
      <c r="G88" s="455">
        <f t="shared" si="12"/>
        <v>0</v>
      </c>
      <c r="H88" s="455">
        <f t="shared" si="12"/>
        <v>0</v>
      </c>
      <c r="I88" s="455">
        <f t="shared" si="12"/>
        <v>0</v>
      </c>
      <c r="J88" s="1188" t="s">
        <v>1779</v>
      </c>
    </row>
    <row r="90" spans="1:10" ht="12.75" customHeight="1">
      <c r="A90" s="457" t="s">
        <v>673</v>
      </c>
      <c r="B90" s="455">
        <f t="shared" ref="B90:I90" si="13">B56+B62+B69+B74+B81+B88</f>
        <v>1614</v>
      </c>
      <c r="C90" s="455">
        <f t="shared" si="13"/>
        <v>228</v>
      </c>
      <c r="D90" s="455">
        <f t="shared" si="13"/>
        <v>167</v>
      </c>
      <c r="E90" s="455">
        <f t="shared" si="13"/>
        <v>109</v>
      </c>
      <c r="F90" s="455">
        <f t="shared" si="13"/>
        <v>504</v>
      </c>
      <c r="G90" s="455">
        <f t="shared" si="13"/>
        <v>823</v>
      </c>
      <c r="H90" s="455">
        <f t="shared" si="13"/>
        <v>1295</v>
      </c>
      <c r="I90" s="455">
        <f t="shared" si="13"/>
        <v>2118</v>
      </c>
      <c r="J90" s="1188" t="s">
        <v>1249</v>
      </c>
    </row>
    <row r="92" spans="1:10" ht="12.75" customHeight="1">
      <c r="A92" s="93" t="s">
        <v>1250</v>
      </c>
    </row>
    <row r="93" spans="1:10" ht="12.75" customHeight="1">
      <c r="A93" s="89" t="s">
        <v>1251</v>
      </c>
      <c r="B93" s="566"/>
      <c r="C93" s="566"/>
      <c r="D93" s="566"/>
      <c r="E93" s="566"/>
      <c r="F93" s="455">
        <f>SUM(C93:E93)</f>
        <v>0</v>
      </c>
      <c r="G93" s="564"/>
      <c r="H93" s="564"/>
      <c r="I93" s="455">
        <f>SUM(G93:H93)</f>
        <v>0</v>
      </c>
      <c r="J93" s="1188" t="s">
        <v>1252</v>
      </c>
    </row>
    <row r="94" spans="1:10" ht="12.75" customHeight="1">
      <c r="A94" s="89" t="s">
        <v>1253</v>
      </c>
      <c r="B94" s="566"/>
      <c r="C94" s="566"/>
      <c r="D94" s="566"/>
      <c r="E94" s="566"/>
      <c r="F94" s="455">
        <f>SUM(C94:E94)</f>
        <v>0</v>
      </c>
      <c r="G94" s="564"/>
      <c r="H94" s="564"/>
      <c r="I94" s="455">
        <f>SUM(G94:H94)</f>
        <v>0</v>
      </c>
      <c r="J94" s="1188" t="s">
        <v>1254</v>
      </c>
    </row>
    <row r="95" spans="1:10" ht="12.75" customHeight="1">
      <c r="A95" s="89" t="s">
        <v>1255</v>
      </c>
      <c r="B95" s="566"/>
      <c r="C95" s="566"/>
      <c r="D95" s="566"/>
      <c r="E95" s="566"/>
      <c r="F95" s="455">
        <f>SUM(C95:E95)</f>
        <v>0</v>
      </c>
      <c r="G95" s="564"/>
      <c r="H95" s="564"/>
      <c r="I95" s="455">
        <f>SUM(G95:H95)</f>
        <v>0</v>
      </c>
      <c r="J95" s="1188" t="s">
        <v>1256</v>
      </c>
    </row>
    <row r="96" spans="1:10" ht="12.75" customHeight="1">
      <c r="A96" s="450" t="s">
        <v>1257</v>
      </c>
      <c r="B96" s="455">
        <f t="shared" ref="B96:I96" si="14">SUM(B93:B95)</f>
        <v>0</v>
      </c>
      <c r="C96" s="455">
        <f t="shared" si="14"/>
        <v>0</v>
      </c>
      <c r="D96" s="455">
        <f t="shared" si="14"/>
        <v>0</v>
      </c>
      <c r="E96" s="455">
        <f t="shared" si="14"/>
        <v>0</v>
      </c>
      <c r="F96" s="455">
        <f t="shared" si="14"/>
        <v>0</v>
      </c>
      <c r="G96" s="455">
        <f t="shared" si="14"/>
        <v>0</v>
      </c>
      <c r="H96" s="455">
        <f t="shared" si="14"/>
        <v>0</v>
      </c>
      <c r="I96" s="455">
        <f t="shared" si="14"/>
        <v>0</v>
      </c>
      <c r="J96" s="1188" t="s">
        <v>1258</v>
      </c>
    </row>
    <row r="98" spans="1:10" ht="12.75" customHeight="1">
      <c r="A98" s="89" t="s">
        <v>1251</v>
      </c>
      <c r="B98" s="566">
        <v>1</v>
      </c>
      <c r="C98" s="566">
        <v>0</v>
      </c>
      <c r="D98" s="566">
        <v>0</v>
      </c>
      <c r="E98" s="566">
        <v>0</v>
      </c>
      <c r="F98" s="455">
        <f>SUM(C98:E98)</f>
        <v>0</v>
      </c>
      <c r="G98" s="564">
        <v>1</v>
      </c>
      <c r="H98" s="564">
        <v>0</v>
      </c>
      <c r="I98" s="455">
        <f>SUM(G98:H98)</f>
        <v>1</v>
      </c>
      <c r="J98" s="1188" t="s">
        <v>1259</v>
      </c>
    </row>
    <row r="99" spans="1:10" ht="12.75" customHeight="1">
      <c r="A99" s="90" t="s">
        <v>1253</v>
      </c>
      <c r="B99" s="1019">
        <v>1</v>
      </c>
      <c r="C99" s="1019">
        <v>0</v>
      </c>
      <c r="D99" s="1019">
        <v>0</v>
      </c>
      <c r="E99" s="1019">
        <v>0</v>
      </c>
      <c r="F99" s="455">
        <f>SUM(C99:E99)</f>
        <v>0</v>
      </c>
      <c r="G99" s="567">
        <v>0</v>
      </c>
      <c r="H99" s="564">
        <v>1</v>
      </c>
      <c r="I99" s="455">
        <f>SUM(G99:H99)</f>
        <v>1</v>
      </c>
      <c r="J99" s="1188" t="s">
        <v>1260</v>
      </c>
    </row>
    <row r="100" spans="1:10" ht="12.75" customHeight="1">
      <c r="A100" s="89" t="s">
        <v>1255</v>
      </c>
      <c r="B100" s="566"/>
      <c r="C100" s="566"/>
      <c r="D100" s="566"/>
      <c r="E100" s="566"/>
      <c r="F100" s="455">
        <f>SUM(C100:E100)</f>
        <v>0</v>
      </c>
      <c r="G100" s="564"/>
      <c r="H100" s="564"/>
      <c r="I100" s="455">
        <f>SUM(G100:H100)</f>
        <v>0</v>
      </c>
      <c r="J100" s="1188" t="s">
        <v>1261</v>
      </c>
    </row>
    <row r="101" spans="1:10" ht="12.75" customHeight="1">
      <c r="A101" s="450" t="s">
        <v>1262</v>
      </c>
      <c r="B101" s="455">
        <f t="shared" ref="B101:I101" si="15">SUM(B98:B100)</f>
        <v>2</v>
      </c>
      <c r="C101" s="455">
        <f t="shared" si="15"/>
        <v>0</v>
      </c>
      <c r="D101" s="455">
        <f t="shared" si="15"/>
        <v>0</v>
      </c>
      <c r="E101" s="455">
        <f t="shared" si="15"/>
        <v>0</v>
      </c>
      <c r="F101" s="455">
        <f t="shared" si="15"/>
        <v>0</v>
      </c>
      <c r="G101" s="455">
        <f t="shared" si="15"/>
        <v>1</v>
      </c>
      <c r="H101" s="455">
        <f t="shared" si="15"/>
        <v>1</v>
      </c>
      <c r="I101" s="455">
        <f t="shared" si="15"/>
        <v>2</v>
      </c>
      <c r="J101" s="1188" t="s">
        <v>1263</v>
      </c>
    </row>
    <row r="103" spans="1:10" ht="12.75" customHeight="1">
      <c r="A103" s="94" t="s">
        <v>2074</v>
      </c>
      <c r="B103" s="566">
        <v>2</v>
      </c>
      <c r="C103" s="566">
        <v>0</v>
      </c>
      <c r="D103" s="566">
        <v>0</v>
      </c>
      <c r="E103" s="566">
        <v>0</v>
      </c>
      <c r="F103" s="455">
        <f>SUM(C103:E103)</f>
        <v>0</v>
      </c>
      <c r="G103" s="566">
        <v>1</v>
      </c>
      <c r="H103" s="564">
        <v>1</v>
      </c>
      <c r="I103" s="455">
        <f>SUM(G103:H103)</f>
        <v>2</v>
      </c>
      <c r="J103" s="1188" t="s">
        <v>1780</v>
      </c>
    </row>
    <row r="104" spans="1:10" ht="12.75" customHeight="1">
      <c r="A104" s="94" t="s">
        <v>1264</v>
      </c>
      <c r="B104" s="566">
        <v>3</v>
      </c>
      <c r="C104" s="566">
        <v>0</v>
      </c>
      <c r="D104" s="566">
        <v>0</v>
      </c>
      <c r="E104" s="566">
        <v>0</v>
      </c>
      <c r="F104" s="455">
        <f>SUM(C104:E104)</f>
        <v>0</v>
      </c>
      <c r="G104" s="566">
        <v>1</v>
      </c>
      <c r="H104" s="564">
        <v>2</v>
      </c>
      <c r="I104" s="455">
        <f>SUM(G104:H104)</f>
        <v>3</v>
      </c>
      <c r="J104" s="1188" t="s">
        <v>1265</v>
      </c>
    </row>
    <row r="105" spans="1:10" ht="12.75" customHeight="1">
      <c r="A105" s="95" t="s">
        <v>1266</v>
      </c>
      <c r="B105" s="566"/>
      <c r="C105" s="566"/>
      <c r="D105" s="566"/>
      <c r="E105" s="566"/>
      <c r="F105" s="455">
        <f>SUM(C105:E105)</f>
        <v>0</v>
      </c>
      <c r="G105" s="564"/>
      <c r="H105" s="564"/>
      <c r="I105" s="455">
        <f>SUM(G105:H105)</f>
        <v>0</v>
      </c>
      <c r="J105" s="1188" t="s">
        <v>1267</v>
      </c>
    </row>
    <row r="106" spans="1:10" ht="12.75" customHeight="1">
      <c r="A106" s="450" t="s">
        <v>1024</v>
      </c>
      <c r="B106" s="455">
        <f t="shared" ref="B106:I106" si="16">SUM(B103:B105)</f>
        <v>5</v>
      </c>
      <c r="C106" s="455">
        <f t="shared" si="16"/>
        <v>0</v>
      </c>
      <c r="D106" s="455">
        <f t="shared" si="16"/>
        <v>0</v>
      </c>
      <c r="E106" s="455">
        <f t="shared" si="16"/>
        <v>0</v>
      </c>
      <c r="F106" s="455">
        <f t="shared" si="16"/>
        <v>0</v>
      </c>
      <c r="G106" s="455">
        <f t="shared" si="16"/>
        <v>2</v>
      </c>
      <c r="H106" s="455">
        <f t="shared" si="16"/>
        <v>3</v>
      </c>
      <c r="I106" s="455">
        <f t="shared" si="16"/>
        <v>5</v>
      </c>
      <c r="J106" s="1188" t="s">
        <v>965</v>
      </c>
    </row>
    <row r="108" spans="1:10" ht="12.75" customHeight="1">
      <c r="A108" s="94" t="s">
        <v>2075</v>
      </c>
      <c r="B108" s="566">
        <v>4</v>
      </c>
      <c r="C108" s="566">
        <v>0</v>
      </c>
      <c r="D108" s="566">
        <v>0</v>
      </c>
      <c r="E108" s="566">
        <v>0</v>
      </c>
      <c r="F108" s="455">
        <f>SUM(C108:E108)</f>
        <v>0</v>
      </c>
      <c r="G108" s="566">
        <v>2</v>
      </c>
      <c r="H108" s="564">
        <v>2</v>
      </c>
      <c r="I108" s="455">
        <f>SUM(G108:H108)</f>
        <v>4</v>
      </c>
      <c r="J108" s="1188" t="s">
        <v>1781</v>
      </c>
    </row>
    <row r="109" spans="1:10" ht="12.75" customHeight="1">
      <c r="A109" s="94" t="s">
        <v>966</v>
      </c>
      <c r="B109" s="566">
        <v>5</v>
      </c>
      <c r="C109" s="566">
        <v>0</v>
      </c>
      <c r="D109" s="566">
        <v>0</v>
      </c>
      <c r="E109" s="566">
        <v>0</v>
      </c>
      <c r="F109" s="455">
        <f>SUM(C109:E109)</f>
        <v>0</v>
      </c>
      <c r="G109" s="566">
        <v>1</v>
      </c>
      <c r="H109" s="564">
        <v>4</v>
      </c>
      <c r="I109" s="455">
        <f>SUM(G109:H109)</f>
        <v>5</v>
      </c>
      <c r="J109" s="1188" t="s">
        <v>967</v>
      </c>
    </row>
    <row r="110" spans="1:10" ht="12.75" customHeight="1">
      <c r="A110" s="89" t="s">
        <v>968</v>
      </c>
      <c r="B110" s="566"/>
      <c r="C110" s="566"/>
      <c r="D110" s="566"/>
      <c r="E110" s="566"/>
      <c r="F110" s="455">
        <f>SUM(C110:E110)</f>
        <v>0</v>
      </c>
      <c r="G110" s="564"/>
      <c r="H110" s="564"/>
      <c r="I110" s="455">
        <f>SUM(G110:H110)</f>
        <v>0</v>
      </c>
      <c r="J110" s="1188" t="s">
        <v>969</v>
      </c>
    </row>
    <row r="111" spans="1:10" ht="12.75" customHeight="1">
      <c r="A111" s="457" t="s">
        <v>970</v>
      </c>
      <c r="B111" s="455">
        <f t="shared" ref="B111:I111" si="17">SUM(B108:B110)</f>
        <v>9</v>
      </c>
      <c r="C111" s="455">
        <f t="shared" si="17"/>
        <v>0</v>
      </c>
      <c r="D111" s="455">
        <f t="shared" si="17"/>
        <v>0</v>
      </c>
      <c r="E111" s="455">
        <f t="shared" si="17"/>
        <v>0</v>
      </c>
      <c r="F111" s="455">
        <f t="shared" si="17"/>
        <v>0</v>
      </c>
      <c r="G111" s="455">
        <f t="shared" si="17"/>
        <v>3</v>
      </c>
      <c r="H111" s="455">
        <f t="shared" si="17"/>
        <v>6</v>
      </c>
      <c r="I111" s="455">
        <f t="shared" si="17"/>
        <v>9</v>
      </c>
      <c r="J111" s="1188" t="s">
        <v>971</v>
      </c>
    </row>
    <row r="113" spans="1:10" ht="12.75" customHeight="1">
      <c r="A113" s="95" t="s">
        <v>1489</v>
      </c>
      <c r="B113" s="566">
        <v>1</v>
      </c>
      <c r="C113" s="566">
        <v>0</v>
      </c>
      <c r="D113" s="566">
        <v>0</v>
      </c>
      <c r="E113" s="566">
        <v>0</v>
      </c>
      <c r="F113" s="455">
        <f>SUM(C113:E113)</f>
        <v>0</v>
      </c>
      <c r="G113" s="564">
        <v>1</v>
      </c>
      <c r="H113" s="564">
        <v>0</v>
      </c>
      <c r="I113" s="455">
        <f>SUM(G113:H113)</f>
        <v>1</v>
      </c>
      <c r="J113" s="1188" t="s">
        <v>1490</v>
      </c>
    </row>
    <row r="114" spans="1:10" ht="12.75" customHeight="1">
      <c r="A114" s="95" t="s">
        <v>148</v>
      </c>
      <c r="B114" s="566"/>
      <c r="C114" s="566"/>
      <c r="D114" s="566"/>
      <c r="E114" s="566"/>
      <c r="F114" s="455">
        <f>SUM(C114:E114)</f>
        <v>0</v>
      </c>
      <c r="G114" s="564"/>
      <c r="H114" s="564"/>
      <c r="I114" s="455">
        <f>SUM(G114:H114)</f>
        <v>0</v>
      </c>
      <c r="J114" s="1188" t="s">
        <v>149</v>
      </c>
    </row>
    <row r="115" spans="1:10" ht="12.75" customHeight="1">
      <c r="A115" s="95" t="s">
        <v>1491</v>
      </c>
      <c r="B115" s="566"/>
      <c r="C115" s="566"/>
      <c r="D115" s="566"/>
      <c r="E115" s="566"/>
      <c r="F115" s="455">
        <f>SUM(C115:E115)</f>
        <v>0</v>
      </c>
      <c r="G115" s="564"/>
      <c r="H115" s="564"/>
      <c r="I115" s="455">
        <f>SUM(G115:H115)</f>
        <v>0</v>
      </c>
      <c r="J115" s="1188" t="s">
        <v>1492</v>
      </c>
    </row>
    <row r="116" spans="1:10" ht="12.75" customHeight="1">
      <c r="A116" s="95" t="s">
        <v>2051</v>
      </c>
      <c r="B116" s="566"/>
      <c r="C116" s="566"/>
      <c r="D116" s="566"/>
      <c r="E116" s="566"/>
      <c r="F116" s="455">
        <f>SUM(C116:E116)</f>
        <v>0</v>
      </c>
      <c r="G116" s="564"/>
      <c r="H116" s="564"/>
      <c r="I116" s="455">
        <f>SUM(G116:H116)</f>
        <v>0</v>
      </c>
      <c r="J116" s="1188" t="s">
        <v>1493</v>
      </c>
    </row>
    <row r="117" spans="1:10" ht="12.75" customHeight="1">
      <c r="A117" s="450" t="s">
        <v>1494</v>
      </c>
      <c r="B117" s="455">
        <f t="shared" ref="B117:I117" si="18">SUM(B113:B116)</f>
        <v>1</v>
      </c>
      <c r="C117" s="455">
        <f t="shared" si="18"/>
        <v>0</v>
      </c>
      <c r="D117" s="455">
        <f t="shared" si="18"/>
        <v>0</v>
      </c>
      <c r="E117" s="455">
        <f t="shared" si="18"/>
        <v>0</v>
      </c>
      <c r="F117" s="455">
        <f>SUM(F113:F116)</f>
        <v>0</v>
      </c>
      <c r="G117" s="455">
        <f t="shared" si="18"/>
        <v>1</v>
      </c>
      <c r="H117" s="455">
        <f t="shared" si="18"/>
        <v>0</v>
      </c>
      <c r="I117" s="455">
        <f t="shared" si="18"/>
        <v>1</v>
      </c>
      <c r="J117" s="1188" t="s">
        <v>1495</v>
      </c>
    </row>
    <row r="119" spans="1:10" ht="12.75" customHeight="1">
      <c r="A119" s="95" t="s">
        <v>1496</v>
      </c>
      <c r="B119" s="566">
        <v>55</v>
      </c>
      <c r="C119" s="566">
        <v>0</v>
      </c>
      <c r="D119" s="566">
        <v>0</v>
      </c>
      <c r="E119" s="566">
        <v>0</v>
      </c>
      <c r="F119" s="455">
        <f>SUM(C119:E119)</f>
        <v>0</v>
      </c>
      <c r="G119" s="564">
        <v>28</v>
      </c>
      <c r="H119" s="564">
        <v>27</v>
      </c>
      <c r="I119" s="455">
        <f>SUM(G119:H119)</f>
        <v>55</v>
      </c>
      <c r="J119" s="1188" t="s">
        <v>1497</v>
      </c>
    </row>
    <row r="120" spans="1:10" ht="12.75" customHeight="1">
      <c r="A120" s="95" t="s">
        <v>1498</v>
      </c>
      <c r="B120" s="566">
        <v>24</v>
      </c>
      <c r="C120" s="566">
        <v>0</v>
      </c>
      <c r="D120" s="566">
        <v>2</v>
      </c>
      <c r="E120" s="566">
        <v>0</v>
      </c>
      <c r="F120" s="455">
        <f>SUM(C120:E120)</f>
        <v>2</v>
      </c>
      <c r="G120" s="564">
        <v>12</v>
      </c>
      <c r="H120" s="564">
        <v>14</v>
      </c>
      <c r="I120" s="455">
        <f>SUM(G120:H120)</f>
        <v>26</v>
      </c>
      <c r="J120" s="1188" t="s">
        <v>1499</v>
      </c>
    </row>
    <row r="121" spans="1:10" ht="12.75" customHeight="1">
      <c r="A121" s="95" t="s">
        <v>720</v>
      </c>
      <c r="B121" s="566"/>
      <c r="C121" s="566"/>
      <c r="D121" s="566"/>
      <c r="E121" s="566"/>
      <c r="F121" s="455">
        <f>SUM(C121:E121)</f>
        <v>0</v>
      </c>
      <c r="G121" s="564"/>
      <c r="H121" s="564"/>
      <c r="I121" s="455">
        <f>SUM(G121:H121)</f>
        <v>0</v>
      </c>
      <c r="J121" s="1188" t="s">
        <v>721</v>
      </c>
    </row>
    <row r="122" spans="1:10" ht="12.75" customHeight="1">
      <c r="A122" s="450" t="s">
        <v>722</v>
      </c>
      <c r="B122" s="455">
        <f t="shared" ref="B122:I122" si="19">SUM(B119:B121)</f>
        <v>79</v>
      </c>
      <c r="C122" s="455">
        <f t="shared" si="19"/>
        <v>0</v>
      </c>
      <c r="D122" s="455">
        <f t="shared" si="19"/>
        <v>2</v>
      </c>
      <c r="E122" s="455">
        <f t="shared" si="19"/>
        <v>0</v>
      </c>
      <c r="F122" s="455">
        <f t="shared" si="19"/>
        <v>2</v>
      </c>
      <c r="G122" s="455">
        <f t="shared" si="19"/>
        <v>40</v>
      </c>
      <c r="H122" s="455">
        <f t="shared" si="19"/>
        <v>41</v>
      </c>
      <c r="I122" s="455">
        <f t="shared" si="19"/>
        <v>81</v>
      </c>
      <c r="J122" s="1188" t="s">
        <v>425</v>
      </c>
    </row>
    <row r="124" spans="1:10" ht="12.75" customHeight="1">
      <c r="A124" s="89" t="s">
        <v>426</v>
      </c>
      <c r="B124" s="566">
        <v>27</v>
      </c>
      <c r="C124" s="566">
        <v>0</v>
      </c>
      <c r="D124" s="566">
        <v>0</v>
      </c>
      <c r="E124" s="566">
        <v>0</v>
      </c>
      <c r="F124" s="455">
        <f>SUM(C124:E124)</f>
        <v>0</v>
      </c>
      <c r="G124" s="564">
        <v>4</v>
      </c>
      <c r="H124" s="564">
        <v>23</v>
      </c>
      <c r="I124" s="455">
        <f>SUM(G124:H124)</f>
        <v>27</v>
      </c>
      <c r="J124" s="1188" t="s">
        <v>427</v>
      </c>
    </row>
    <row r="125" spans="1:10" ht="12.75" customHeight="1">
      <c r="A125" s="89" t="s">
        <v>428</v>
      </c>
      <c r="B125" s="566">
        <v>5</v>
      </c>
      <c r="C125" s="566">
        <v>0</v>
      </c>
      <c r="D125" s="566">
        <v>0</v>
      </c>
      <c r="E125" s="566">
        <v>0</v>
      </c>
      <c r="F125" s="455">
        <f>SUM(C125:E125)</f>
        <v>0</v>
      </c>
      <c r="G125" s="564">
        <v>2</v>
      </c>
      <c r="H125" s="564">
        <v>3</v>
      </c>
      <c r="I125" s="455">
        <f>SUM(G125:H125)</f>
        <v>5</v>
      </c>
      <c r="J125" s="1188" t="s">
        <v>429</v>
      </c>
    </row>
    <row r="126" spans="1:10" ht="12.75" customHeight="1">
      <c r="A126" s="89" t="s">
        <v>1336</v>
      </c>
      <c r="B126" s="566"/>
      <c r="C126" s="566"/>
      <c r="D126" s="566"/>
      <c r="E126" s="566"/>
      <c r="F126" s="455">
        <f>SUM(C126:E126)</f>
        <v>0</v>
      </c>
      <c r="G126" s="564"/>
      <c r="H126" s="564"/>
      <c r="I126" s="455">
        <f>SUM(G126:H126)</f>
        <v>0</v>
      </c>
      <c r="J126" s="1188" t="s">
        <v>65</v>
      </c>
    </row>
    <row r="127" spans="1:10" ht="12.75" customHeight="1">
      <c r="A127" s="89" t="s">
        <v>66</v>
      </c>
      <c r="B127" s="566">
        <v>8</v>
      </c>
      <c r="C127" s="566">
        <v>0</v>
      </c>
      <c r="D127" s="566">
        <v>0</v>
      </c>
      <c r="E127" s="566">
        <v>0</v>
      </c>
      <c r="F127" s="455">
        <f>SUM(C127:E127)</f>
        <v>0</v>
      </c>
      <c r="G127" s="564">
        <v>2</v>
      </c>
      <c r="H127" s="564">
        <v>6</v>
      </c>
      <c r="I127" s="455">
        <f>SUM(G127:H127)</f>
        <v>8</v>
      </c>
      <c r="J127" s="1188" t="s">
        <v>67</v>
      </c>
    </row>
    <row r="128" spans="1:10" ht="12.75" customHeight="1">
      <c r="A128" s="89" t="s">
        <v>68</v>
      </c>
      <c r="B128" s="566"/>
      <c r="C128" s="566"/>
      <c r="D128" s="566"/>
      <c r="E128" s="566"/>
      <c r="F128" s="455">
        <f>SUM(C128:E128)</f>
        <v>0</v>
      </c>
      <c r="G128" s="564"/>
      <c r="H128" s="564"/>
      <c r="I128" s="455">
        <f>SUM(G128:H128)</f>
        <v>0</v>
      </c>
      <c r="J128" s="1188" t="s">
        <v>69</v>
      </c>
    </row>
    <row r="129" spans="1:10" ht="12.75" customHeight="1">
      <c r="A129" s="450" t="s">
        <v>70</v>
      </c>
      <c r="B129" s="455">
        <f t="shared" ref="B129:I129" si="20">SUM(B124:B128)</f>
        <v>40</v>
      </c>
      <c r="C129" s="455">
        <f t="shared" si="20"/>
        <v>0</v>
      </c>
      <c r="D129" s="455">
        <f t="shared" si="20"/>
        <v>0</v>
      </c>
      <c r="E129" s="455">
        <f t="shared" si="20"/>
        <v>0</v>
      </c>
      <c r="F129" s="455">
        <f t="shared" si="20"/>
        <v>0</v>
      </c>
      <c r="G129" s="455">
        <f t="shared" si="20"/>
        <v>8</v>
      </c>
      <c r="H129" s="455">
        <f t="shared" si="20"/>
        <v>32</v>
      </c>
      <c r="I129" s="455">
        <f t="shared" si="20"/>
        <v>40</v>
      </c>
      <c r="J129" s="1188" t="s">
        <v>71</v>
      </c>
    </row>
    <row r="131" spans="1:10" ht="12.75" customHeight="1">
      <c r="A131" s="95" t="s">
        <v>356</v>
      </c>
      <c r="B131" s="566">
        <v>18</v>
      </c>
      <c r="C131" s="566">
        <v>0</v>
      </c>
      <c r="D131" s="566">
        <v>3</v>
      </c>
      <c r="E131" s="566">
        <v>0</v>
      </c>
      <c r="F131" s="455">
        <f>SUM(C131:E131)</f>
        <v>3</v>
      </c>
      <c r="G131" s="564">
        <v>8</v>
      </c>
      <c r="H131" s="564">
        <v>13</v>
      </c>
      <c r="I131" s="455">
        <f>SUM(G131:H131)</f>
        <v>21</v>
      </c>
      <c r="J131" s="1188" t="s">
        <v>357</v>
      </c>
    </row>
    <row r="132" spans="1:10" ht="12.75" customHeight="1">
      <c r="A132" s="95" t="s">
        <v>358</v>
      </c>
      <c r="B132" s="566">
        <v>6</v>
      </c>
      <c r="C132" s="566">
        <v>0</v>
      </c>
      <c r="D132" s="566">
        <v>1</v>
      </c>
      <c r="E132" s="566">
        <v>0</v>
      </c>
      <c r="F132" s="455">
        <f>SUM(C132:E132)</f>
        <v>1</v>
      </c>
      <c r="G132" s="564">
        <v>0</v>
      </c>
      <c r="H132" s="564">
        <v>7</v>
      </c>
      <c r="I132" s="455">
        <f>SUM(G132:H132)</f>
        <v>7</v>
      </c>
      <c r="J132" s="1188" t="s">
        <v>359</v>
      </c>
    </row>
    <row r="133" spans="1:10" ht="12.75" customHeight="1">
      <c r="A133" s="95" t="s">
        <v>360</v>
      </c>
      <c r="B133" s="566"/>
      <c r="C133" s="566"/>
      <c r="D133" s="566"/>
      <c r="E133" s="566"/>
      <c r="F133" s="455">
        <f>SUM(C133:E133)</f>
        <v>0</v>
      </c>
      <c r="G133" s="564"/>
      <c r="H133" s="564"/>
      <c r="I133" s="455">
        <f>SUM(G133:H133)</f>
        <v>0</v>
      </c>
      <c r="J133" s="1188" t="s">
        <v>1782</v>
      </c>
    </row>
    <row r="134" spans="1:10" ht="12.75" customHeight="1">
      <c r="A134" s="95" t="s">
        <v>361</v>
      </c>
      <c r="B134" s="566">
        <v>0</v>
      </c>
      <c r="C134" s="566">
        <v>1</v>
      </c>
      <c r="D134" s="566">
        <v>0</v>
      </c>
      <c r="E134" s="566">
        <v>0</v>
      </c>
      <c r="F134" s="455">
        <f>SUM(C134:E134)</f>
        <v>1</v>
      </c>
      <c r="G134" s="564">
        <v>0</v>
      </c>
      <c r="H134" s="564">
        <v>1</v>
      </c>
      <c r="I134" s="455">
        <f>SUM(G134:H134)</f>
        <v>1</v>
      </c>
      <c r="J134" s="1188" t="s">
        <v>362</v>
      </c>
    </row>
    <row r="135" spans="1:10" ht="12.75" customHeight="1">
      <c r="A135" s="95" t="s">
        <v>363</v>
      </c>
      <c r="B135" s="566"/>
      <c r="C135" s="566"/>
      <c r="D135" s="566"/>
      <c r="E135" s="566"/>
      <c r="F135" s="455">
        <f>SUM(C135:E135)</f>
        <v>0</v>
      </c>
      <c r="G135" s="564"/>
      <c r="H135" s="564"/>
      <c r="I135" s="455">
        <f>SUM(G135:H135)</f>
        <v>0</v>
      </c>
      <c r="J135" s="1188" t="s">
        <v>364</v>
      </c>
    </row>
    <row r="136" spans="1:10" ht="12.75" customHeight="1">
      <c r="A136" s="450" t="s">
        <v>365</v>
      </c>
      <c r="B136" s="455">
        <f t="shared" ref="B136:I136" si="21">SUM(B131:B135)</f>
        <v>24</v>
      </c>
      <c r="C136" s="455">
        <f t="shared" si="21"/>
        <v>1</v>
      </c>
      <c r="D136" s="455">
        <f t="shared" si="21"/>
        <v>4</v>
      </c>
      <c r="E136" s="455">
        <f t="shared" si="21"/>
        <v>0</v>
      </c>
      <c r="F136" s="455">
        <f t="shared" si="21"/>
        <v>5</v>
      </c>
      <c r="G136" s="455">
        <f t="shared" si="21"/>
        <v>8</v>
      </c>
      <c r="H136" s="455">
        <f t="shared" si="21"/>
        <v>21</v>
      </c>
      <c r="I136" s="455">
        <f t="shared" si="21"/>
        <v>29</v>
      </c>
      <c r="J136" s="1188" t="s">
        <v>366</v>
      </c>
    </row>
    <row r="138" spans="1:10" ht="12.75" customHeight="1">
      <c r="A138" s="89" t="s">
        <v>367</v>
      </c>
      <c r="B138" s="566">
        <v>25</v>
      </c>
      <c r="C138" s="566">
        <v>0</v>
      </c>
      <c r="D138" s="566">
        <v>0</v>
      </c>
      <c r="E138" s="566">
        <v>0</v>
      </c>
      <c r="F138" s="455">
        <f>SUM(C138:E138)</f>
        <v>0</v>
      </c>
      <c r="G138" s="564">
        <v>9</v>
      </c>
      <c r="H138" s="564">
        <v>16</v>
      </c>
      <c r="I138" s="455">
        <f>SUM(G138:H138)</f>
        <v>25</v>
      </c>
      <c r="J138" s="1188" t="s">
        <v>368</v>
      </c>
    </row>
    <row r="139" spans="1:10" ht="12.75" customHeight="1">
      <c r="A139" s="89" t="s">
        <v>369</v>
      </c>
      <c r="B139" s="566">
        <v>36</v>
      </c>
      <c r="C139" s="566">
        <v>0</v>
      </c>
      <c r="D139" s="566">
        <v>0</v>
      </c>
      <c r="E139" s="566">
        <v>0</v>
      </c>
      <c r="F139" s="455">
        <f>SUM(C139:E139)</f>
        <v>0</v>
      </c>
      <c r="G139" s="564">
        <v>5</v>
      </c>
      <c r="H139" s="564">
        <v>31</v>
      </c>
      <c r="I139" s="455">
        <f>SUM(G139:H139)</f>
        <v>36</v>
      </c>
      <c r="J139" s="1188" t="s">
        <v>370</v>
      </c>
    </row>
    <row r="140" spans="1:10" ht="12.75" customHeight="1">
      <c r="A140" s="89" t="s">
        <v>2180</v>
      </c>
      <c r="B140" s="566"/>
      <c r="C140" s="566"/>
      <c r="D140" s="566"/>
      <c r="E140" s="566"/>
      <c r="F140" s="455">
        <f>SUM(C140:E140)</f>
        <v>0</v>
      </c>
      <c r="G140" s="564"/>
      <c r="H140" s="564"/>
      <c r="I140" s="455">
        <f>SUM(G140:H140)</f>
        <v>0</v>
      </c>
      <c r="J140" s="1188" t="s">
        <v>2181</v>
      </c>
    </row>
    <row r="141" spans="1:10" ht="12.75" customHeight="1">
      <c r="A141" s="89" t="s">
        <v>2076</v>
      </c>
      <c r="B141" s="566">
        <v>31</v>
      </c>
      <c r="C141" s="566">
        <v>0</v>
      </c>
      <c r="D141" s="566">
        <v>0</v>
      </c>
      <c r="E141" s="566">
        <v>0</v>
      </c>
      <c r="F141" s="455">
        <f>SUM(C141:E141)</f>
        <v>0</v>
      </c>
      <c r="G141" s="564">
        <v>11</v>
      </c>
      <c r="H141" s="564">
        <v>20</v>
      </c>
      <c r="I141" s="455">
        <f>SUM(G141:H141)</f>
        <v>31</v>
      </c>
      <c r="J141" s="1188" t="s">
        <v>371</v>
      </c>
    </row>
    <row r="142" spans="1:10" ht="12.75" customHeight="1">
      <c r="A142" s="89" t="s">
        <v>2077</v>
      </c>
      <c r="B142" s="566"/>
      <c r="C142" s="566"/>
      <c r="D142" s="566"/>
      <c r="E142" s="566"/>
      <c r="F142" s="455">
        <f>SUM(C142:E142)</f>
        <v>0</v>
      </c>
      <c r="G142" s="564"/>
      <c r="H142" s="564"/>
      <c r="I142" s="455">
        <f>SUM(G142:H142)</f>
        <v>0</v>
      </c>
      <c r="J142" s="1188" t="s">
        <v>372</v>
      </c>
    </row>
    <row r="143" spans="1:10" ht="12.75" customHeight="1">
      <c r="A143" s="457" t="s">
        <v>373</v>
      </c>
      <c r="B143" s="455">
        <f t="shared" ref="B143:I143" si="22">SUM(B138:B142)</f>
        <v>92</v>
      </c>
      <c r="C143" s="455">
        <f t="shared" si="22"/>
        <v>0</v>
      </c>
      <c r="D143" s="455">
        <f t="shared" si="22"/>
        <v>0</v>
      </c>
      <c r="E143" s="455">
        <f t="shared" si="22"/>
        <v>0</v>
      </c>
      <c r="F143" s="455">
        <f t="shared" si="22"/>
        <v>0</v>
      </c>
      <c r="G143" s="455">
        <f t="shared" si="22"/>
        <v>25</v>
      </c>
      <c r="H143" s="455">
        <f t="shared" si="22"/>
        <v>67</v>
      </c>
      <c r="I143" s="455">
        <f t="shared" si="22"/>
        <v>92</v>
      </c>
      <c r="J143" s="1188" t="s">
        <v>374</v>
      </c>
    </row>
    <row r="145" spans="1:10" ht="12.75" customHeight="1">
      <c r="A145" s="457" t="s">
        <v>1250</v>
      </c>
      <c r="B145" s="455">
        <f>B96+B101+B106+B111+B117+B122+B129+B136+B143</f>
        <v>252</v>
      </c>
      <c r="C145" s="455">
        <f t="shared" ref="C145:I145" si="23">C96+C101+C106+C111+C117+C122+C129+C136+C143</f>
        <v>1</v>
      </c>
      <c r="D145" s="455">
        <f t="shared" si="23"/>
        <v>6</v>
      </c>
      <c r="E145" s="455">
        <f t="shared" si="23"/>
        <v>0</v>
      </c>
      <c r="F145" s="455">
        <f t="shared" si="23"/>
        <v>7</v>
      </c>
      <c r="G145" s="455">
        <f t="shared" si="23"/>
        <v>88</v>
      </c>
      <c r="H145" s="455">
        <f t="shared" si="23"/>
        <v>171</v>
      </c>
      <c r="I145" s="455">
        <f t="shared" si="23"/>
        <v>259</v>
      </c>
      <c r="J145" s="1188" t="s">
        <v>375</v>
      </c>
    </row>
    <row r="147" spans="1:10" ht="12.75" customHeight="1">
      <c r="A147" s="93" t="s">
        <v>376</v>
      </c>
    </row>
    <row r="148" spans="1:10" ht="12.75" customHeight="1">
      <c r="A148" s="96" t="s">
        <v>1670</v>
      </c>
      <c r="B148" s="566">
        <v>1</v>
      </c>
      <c r="C148" s="566">
        <v>0</v>
      </c>
      <c r="D148" s="566">
        <v>0</v>
      </c>
      <c r="E148" s="566">
        <v>0</v>
      </c>
      <c r="F148" s="455">
        <f>SUM(C148:E148)</f>
        <v>0</v>
      </c>
      <c r="G148" s="564">
        <v>1</v>
      </c>
      <c r="H148" s="564">
        <v>0</v>
      </c>
      <c r="I148" s="455">
        <f>SUM(G148:H148)</f>
        <v>1</v>
      </c>
      <c r="J148" s="1188" t="s">
        <v>377</v>
      </c>
    </row>
    <row r="149" spans="1:10" ht="12.75" customHeight="1">
      <c r="A149" s="96" t="s">
        <v>378</v>
      </c>
      <c r="B149" s="566">
        <v>2</v>
      </c>
      <c r="C149" s="566">
        <v>0</v>
      </c>
      <c r="D149" s="566">
        <v>0</v>
      </c>
      <c r="E149" s="566">
        <v>0</v>
      </c>
      <c r="F149" s="455">
        <f>SUM(C149:E149)</f>
        <v>0</v>
      </c>
      <c r="G149" s="564">
        <v>2</v>
      </c>
      <c r="H149" s="564">
        <v>0</v>
      </c>
      <c r="I149" s="455">
        <f>SUM(G149:H149)</f>
        <v>2</v>
      </c>
      <c r="J149" s="1188" t="s">
        <v>379</v>
      </c>
    </row>
    <row r="150" spans="1:10" ht="12.75" customHeight="1">
      <c r="A150" s="97" t="s">
        <v>380</v>
      </c>
      <c r="B150" s="1019"/>
      <c r="C150" s="1019"/>
      <c r="D150" s="1019"/>
      <c r="E150" s="1019"/>
      <c r="F150" s="455">
        <f>SUM(C150:E150)</f>
        <v>0</v>
      </c>
      <c r="G150" s="567"/>
      <c r="H150" s="564"/>
      <c r="I150" s="455">
        <f>SUM(G150:H150)</f>
        <v>0</v>
      </c>
      <c r="J150" s="1188" t="s">
        <v>381</v>
      </c>
    </row>
    <row r="151" spans="1:10" ht="12.75" customHeight="1">
      <c r="A151" s="458" t="s">
        <v>382</v>
      </c>
      <c r="B151" s="455">
        <f t="shared" ref="B151:I151" si="24">SUM(B148:B150)</f>
        <v>3</v>
      </c>
      <c r="C151" s="455">
        <f t="shared" si="24"/>
        <v>0</v>
      </c>
      <c r="D151" s="455">
        <f t="shared" si="24"/>
        <v>0</v>
      </c>
      <c r="E151" s="455">
        <f t="shared" si="24"/>
        <v>0</v>
      </c>
      <c r="F151" s="455">
        <f t="shared" si="24"/>
        <v>0</v>
      </c>
      <c r="G151" s="455">
        <f t="shared" si="24"/>
        <v>3</v>
      </c>
      <c r="H151" s="455">
        <f t="shared" si="24"/>
        <v>0</v>
      </c>
      <c r="I151" s="455">
        <f t="shared" si="24"/>
        <v>3</v>
      </c>
      <c r="J151" s="1188" t="s">
        <v>383</v>
      </c>
    </row>
    <row r="153" spans="1:10" ht="12.75" customHeight="1">
      <c r="A153" s="96" t="s">
        <v>384</v>
      </c>
      <c r="B153" s="566">
        <v>27</v>
      </c>
      <c r="C153" s="566">
        <v>0</v>
      </c>
      <c r="D153" s="566">
        <v>0</v>
      </c>
      <c r="E153" s="566">
        <v>0</v>
      </c>
      <c r="F153" s="455">
        <f>SUM(C153:E153)</f>
        <v>0</v>
      </c>
      <c r="G153" s="564">
        <v>23</v>
      </c>
      <c r="H153" s="564">
        <v>4</v>
      </c>
      <c r="I153" s="455">
        <f>SUM(G153:H153)</f>
        <v>27</v>
      </c>
      <c r="J153" s="1188" t="s">
        <v>385</v>
      </c>
    </row>
    <row r="154" spans="1:10" ht="12.75" customHeight="1">
      <c r="A154" s="96" t="s">
        <v>386</v>
      </c>
      <c r="B154" s="566">
        <v>14</v>
      </c>
      <c r="C154" s="566">
        <v>0</v>
      </c>
      <c r="D154" s="566">
        <v>0</v>
      </c>
      <c r="E154" s="566">
        <v>0</v>
      </c>
      <c r="F154" s="455">
        <f>SUM(C154:E154)</f>
        <v>0</v>
      </c>
      <c r="G154" s="564">
        <v>10</v>
      </c>
      <c r="H154" s="564">
        <v>4</v>
      </c>
      <c r="I154" s="455">
        <f>SUM(G154:H154)</f>
        <v>14</v>
      </c>
      <c r="J154" s="1188" t="s">
        <v>387</v>
      </c>
    </row>
    <row r="155" spans="1:10" ht="12.75" customHeight="1">
      <c r="A155" s="96" t="s">
        <v>388</v>
      </c>
      <c r="B155" s="566"/>
      <c r="C155" s="566"/>
      <c r="D155" s="566"/>
      <c r="E155" s="566"/>
      <c r="F155" s="455">
        <f>SUM(C155:E155)</f>
        <v>0</v>
      </c>
      <c r="G155" s="564"/>
      <c r="H155" s="564"/>
      <c r="I155" s="455">
        <f>SUM(G155:H155)</f>
        <v>0</v>
      </c>
      <c r="J155" s="1188" t="s">
        <v>389</v>
      </c>
    </row>
    <row r="156" spans="1:10" ht="12.75" customHeight="1">
      <c r="A156" s="96" t="s">
        <v>390</v>
      </c>
      <c r="B156" s="566">
        <v>28</v>
      </c>
      <c r="C156" s="566">
        <v>0</v>
      </c>
      <c r="D156" s="566">
        <v>5</v>
      </c>
      <c r="E156" s="566">
        <v>1</v>
      </c>
      <c r="F156" s="455">
        <f>SUM(C156:E156)</f>
        <v>6</v>
      </c>
      <c r="G156" s="564">
        <v>15</v>
      </c>
      <c r="H156" s="564">
        <v>19</v>
      </c>
      <c r="I156" s="455">
        <f>SUM(G156:H156)</f>
        <v>34</v>
      </c>
      <c r="J156" s="1188" t="s">
        <v>391</v>
      </c>
    </row>
    <row r="157" spans="1:10" ht="12.75" customHeight="1">
      <c r="A157" s="96" t="s">
        <v>1182</v>
      </c>
      <c r="B157" s="566"/>
      <c r="C157" s="566"/>
      <c r="D157" s="566"/>
      <c r="E157" s="566"/>
      <c r="F157" s="455">
        <f>SUM(C157:E157)</f>
        <v>0</v>
      </c>
      <c r="G157" s="564"/>
      <c r="H157" s="564"/>
      <c r="I157" s="455">
        <f>SUM(G157:H157)</f>
        <v>0</v>
      </c>
      <c r="J157" s="1188" t="s">
        <v>1183</v>
      </c>
    </row>
    <row r="158" spans="1:10" ht="12.75" customHeight="1">
      <c r="A158" s="458" t="s">
        <v>1184</v>
      </c>
      <c r="B158" s="455">
        <f t="shared" ref="B158:I158" si="25">SUM(B153:B157)</f>
        <v>69</v>
      </c>
      <c r="C158" s="455">
        <f t="shared" si="25"/>
        <v>0</v>
      </c>
      <c r="D158" s="455">
        <f t="shared" si="25"/>
        <v>5</v>
      </c>
      <c r="E158" s="455">
        <f t="shared" si="25"/>
        <v>1</v>
      </c>
      <c r="F158" s="455">
        <f t="shared" si="25"/>
        <v>6</v>
      </c>
      <c r="G158" s="455">
        <f t="shared" si="25"/>
        <v>48</v>
      </c>
      <c r="H158" s="455">
        <f t="shared" si="25"/>
        <v>27</v>
      </c>
      <c r="I158" s="455">
        <f t="shared" si="25"/>
        <v>75</v>
      </c>
      <c r="J158" s="1188" t="s">
        <v>1185</v>
      </c>
    </row>
    <row r="160" spans="1:10" ht="12.75" customHeight="1">
      <c r="A160" s="96" t="s">
        <v>1186</v>
      </c>
      <c r="B160" s="566">
        <v>8</v>
      </c>
      <c r="C160" s="566">
        <v>0</v>
      </c>
      <c r="D160" s="566">
        <v>0</v>
      </c>
      <c r="E160" s="566">
        <v>0</v>
      </c>
      <c r="F160" s="455">
        <f>SUM(C160:E160)</f>
        <v>0</v>
      </c>
      <c r="G160" s="564">
        <v>8</v>
      </c>
      <c r="H160" s="564">
        <v>0</v>
      </c>
      <c r="I160" s="455">
        <f>SUM(G160:H160)</f>
        <v>8</v>
      </c>
      <c r="J160" s="1188" t="s">
        <v>1187</v>
      </c>
    </row>
    <row r="161" spans="1:10" ht="12.75" customHeight="1">
      <c r="A161" s="96" t="s">
        <v>1188</v>
      </c>
      <c r="B161" s="566"/>
      <c r="C161" s="566"/>
      <c r="D161" s="566"/>
      <c r="E161" s="566"/>
      <c r="F161" s="455">
        <f>SUM(C161:E161)</f>
        <v>0</v>
      </c>
      <c r="G161" s="564"/>
      <c r="H161" s="564"/>
      <c r="I161" s="455">
        <f>SUM(G161:H161)</f>
        <v>0</v>
      </c>
      <c r="J161" s="1188" t="s">
        <v>1189</v>
      </c>
    </row>
    <row r="162" spans="1:10" ht="12.75" customHeight="1">
      <c r="A162" s="96" t="s">
        <v>2078</v>
      </c>
      <c r="B162" s="566"/>
      <c r="C162" s="566"/>
      <c r="D162" s="566"/>
      <c r="E162" s="566"/>
      <c r="F162" s="455">
        <f>SUM(C162:E162)</f>
        <v>0</v>
      </c>
      <c r="G162" s="564"/>
      <c r="H162" s="564"/>
      <c r="I162" s="455">
        <f>SUM(G162:H162)</f>
        <v>0</v>
      </c>
      <c r="J162" s="1188" t="s">
        <v>1783</v>
      </c>
    </row>
    <row r="163" spans="1:10" ht="12.75" customHeight="1">
      <c r="A163" s="96" t="s">
        <v>1190</v>
      </c>
      <c r="B163" s="566">
        <v>1</v>
      </c>
      <c r="C163" s="566">
        <v>0</v>
      </c>
      <c r="D163" s="566">
        <v>0</v>
      </c>
      <c r="E163" s="566">
        <v>0</v>
      </c>
      <c r="F163" s="455">
        <f>SUM(C163:E163)</f>
        <v>0</v>
      </c>
      <c r="G163" s="564">
        <v>0</v>
      </c>
      <c r="H163" s="564">
        <v>1</v>
      </c>
      <c r="I163" s="455">
        <f>SUM(G163:H163)</f>
        <v>1</v>
      </c>
      <c r="J163" s="1188" t="s">
        <v>1191</v>
      </c>
    </row>
    <row r="164" spans="1:10" ht="12.75" customHeight="1">
      <c r="A164" s="458" t="s">
        <v>1192</v>
      </c>
      <c r="B164" s="455">
        <f t="shared" ref="B164:I164" si="26">SUM(B160:B163)</f>
        <v>9</v>
      </c>
      <c r="C164" s="455">
        <f t="shared" si="26"/>
        <v>0</v>
      </c>
      <c r="D164" s="455">
        <f t="shared" si="26"/>
        <v>0</v>
      </c>
      <c r="E164" s="455">
        <f t="shared" si="26"/>
        <v>0</v>
      </c>
      <c r="F164" s="455">
        <f t="shared" si="26"/>
        <v>0</v>
      </c>
      <c r="G164" s="455">
        <f t="shared" si="26"/>
        <v>8</v>
      </c>
      <c r="H164" s="455">
        <f t="shared" si="26"/>
        <v>1</v>
      </c>
      <c r="I164" s="455">
        <f t="shared" si="26"/>
        <v>9</v>
      </c>
      <c r="J164" s="1188" t="s">
        <v>1193</v>
      </c>
    </row>
    <row r="166" spans="1:10" ht="12.75" customHeight="1">
      <c r="A166" s="457" t="s">
        <v>376</v>
      </c>
      <c r="B166" s="455">
        <f t="shared" ref="B166:I166" si="27">B151+B158+B164</f>
        <v>81</v>
      </c>
      <c r="C166" s="455">
        <f t="shared" si="27"/>
        <v>0</v>
      </c>
      <c r="D166" s="455">
        <f t="shared" si="27"/>
        <v>5</v>
      </c>
      <c r="E166" s="455">
        <f t="shared" si="27"/>
        <v>1</v>
      </c>
      <c r="F166" s="455">
        <f t="shared" si="27"/>
        <v>6</v>
      </c>
      <c r="G166" s="455">
        <f t="shared" si="27"/>
        <v>59</v>
      </c>
      <c r="H166" s="455">
        <f t="shared" si="27"/>
        <v>28</v>
      </c>
      <c r="I166" s="455">
        <f t="shared" si="27"/>
        <v>87</v>
      </c>
      <c r="J166" s="1188" t="s">
        <v>1194</v>
      </c>
    </row>
    <row r="168" spans="1:10" ht="12.75" customHeight="1">
      <c r="A168" s="53" t="s">
        <v>1195</v>
      </c>
    </row>
    <row r="169" spans="1:10" ht="12.75" customHeight="1">
      <c r="A169" s="96" t="s">
        <v>2052</v>
      </c>
      <c r="B169" s="566"/>
      <c r="C169" s="566"/>
      <c r="D169" s="566"/>
      <c r="E169" s="566"/>
      <c r="F169" s="455">
        <f>SUM(C169:E169)</f>
        <v>0</v>
      </c>
      <c r="G169" s="564"/>
      <c r="H169" s="564"/>
      <c r="I169" s="455">
        <f>SUM(G169:H169)</f>
        <v>0</v>
      </c>
      <c r="J169" s="1193" t="s">
        <v>1838</v>
      </c>
    </row>
    <row r="170" spans="1:10" ht="12.75" customHeight="1">
      <c r="A170" s="96" t="s">
        <v>1196</v>
      </c>
      <c r="B170" s="566"/>
      <c r="C170" s="566"/>
      <c r="D170" s="566"/>
      <c r="E170" s="566"/>
      <c r="F170" s="455">
        <f>SUM(C170:E170)</f>
        <v>0</v>
      </c>
      <c r="G170" s="564"/>
      <c r="H170" s="564"/>
      <c r="I170" s="455">
        <f>SUM(G170:H170)</f>
        <v>0</v>
      </c>
      <c r="J170" s="1188" t="s">
        <v>1197</v>
      </c>
    </row>
    <row r="171" spans="1:10" ht="12.75" customHeight="1">
      <c r="A171" s="96" t="s">
        <v>1198</v>
      </c>
      <c r="B171" s="566"/>
      <c r="C171" s="566"/>
      <c r="D171" s="566"/>
      <c r="E171" s="566"/>
      <c r="F171" s="455">
        <f>SUM(C171:E171)</f>
        <v>0</v>
      </c>
      <c r="G171" s="564"/>
      <c r="H171" s="564"/>
      <c r="I171" s="455">
        <f>SUM(G171:H171)</f>
        <v>0</v>
      </c>
      <c r="J171" s="1188" t="s">
        <v>1199</v>
      </c>
    </row>
    <row r="172" spans="1:10" ht="12.75" customHeight="1">
      <c r="A172" s="97" t="s">
        <v>1200</v>
      </c>
      <c r="B172" s="1019"/>
      <c r="C172" s="1019"/>
      <c r="D172" s="1019"/>
      <c r="E172" s="1019"/>
      <c r="F172" s="455">
        <f>SUM(C172:E172)</f>
        <v>0</v>
      </c>
      <c r="G172" s="567"/>
      <c r="H172" s="564"/>
      <c r="I172" s="455">
        <f>SUM(G172:H172)</f>
        <v>0</v>
      </c>
      <c r="J172" s="1188" t="s">
        <v>1201</v>
      </c>
    </row>
    <row r="173" spans="1:10" ht="12.75" customHeight="1">
      <c r="A173" s="458" t="s">
        <v>1202</v>
      </c>
      <c r="B173" s="455">
        <f>SUM(B169:B172)</f>
        <v>0</v>
      </c>
      <c r="C173" s="455">
        <f t="shared" ref="C173:I173" si="28">SUM(C169:C172)</f>
        <v>0</v>
      </c>
      <c r="D173" s="455">
        <f t="shared" si="28"/>
        <v>0</v>
      </c>
      <c r="E173" s="455">
        <f t="shared" si="28"/>
        <v>0</v>
      </c>
      <c r="F173" s="455">
        <f t="shared" si="28"/>
        <v>0</v>
      </c>
      <c r="G173" s="455">
        <f t="shared" si="28"/>
        <v>0</v>
      </c>
      <c r="H173" s="455">
        <f t="shared" si="28"/>
        <v>0</v>
      </c>
      <c r="I173" s="455">
        <f t="shared" si="28"/>
        <v>0</v>
      </c>
      <c r="J173" s="1188" t="s">
        <v>1203</v>
      </c>
    </row>
    <row r="175" spans="1:10" ht="12.75" customHeight="1">
      <c r="A175" s="96" t="s">
        <v>2053</v>
      </c>
      <c r="B175" s="566">
        <v>4</v>
      </c>
      <c r="C175" s="566">
        <v>0</v>
      </c>
      <c r="D175" s="566">
        <v>0</v>
      </c>
      <c r="E175" s="566">
        <v>0</v>
      </c>
      <c r="F175" s="455">
        <f>SUM(C175:E175)</f>
        <v>0</v>
      </c>
      <c r="G175" s="564">
        <v>0</v>
      </c>
      <c r="H175" s="564">
        <v>4</v>
      </c>
      <c r="I175" s="455">
        <f>SUM(G175:H175)</f>
        <v>4</v>
      </c>
      <c r="J175" s="1188" t="s">
        <v>1397</v>
      </c>
    </row>
    <row r="176" spans="1:10" ht="12.75" customHeight="1">
      <c r="A176" s="96" t="s">
        <v>2054</v>
      </c>
      <c r="B176" s="566"/>
      <c r="C176" s="566"/>
      <c r="D176" s="566"/>
      <c r="E176" s="566"/>
      <c r="F176" s="455">
        <f>SUM(C176:E176)</f>
        <v>0</v>
      </c>
      <c r="G176" s="564"/>
      <c r="H176" s="564"/>
      <c r="I176" s="455">
        <f>SUM(G176:H176)</f>
        <v>0</v>
      </c>
      <c r="J176" s="1188" t="s">
        <v>1398</v>
      </c>
    </row>
    <row r="177" spans="1:10" ht="12.75" customHeight="1">
      <c r="A177" s="96" t="s">
        <v>253</v>
      </c>
      <c r="B177" s="566"/>
      <c r="C177" s="566"/>
      <c r="D177" s="566"/>
      <c r="E177" s="566"/>
      <c r="F177" s="455">
        <f>SUM(C177:E177)</f>
        <v>0</v>
      </c>
      <c r="G177" s="564"/>
      <c r="H177" s="564"/>
      <c r="I177" s="455">
        <f>SUM(G177:H177)</f>
        <v>0</v>
      </c>
      <c r="J177" s="1188" t="s">
        <v>1399</v>
      </c>
    </row>
    <row r="178" spans="1:10" ht="12.75" customHeight="1">
      <c r="A178" s="96" t="s">
        <v>254</v>
      </c>
      <c r="B178" s="566"/>
      <c r="C178" s="566"/>
      <c r="D178" s="566"/>
      <c r="E178" s="566"/>
      <c r="F178" s="455">
        <f>SUM(C178:E178)</f>
        <v>0</v>
      </c>
      <c r="G178" s="564"/>
      <c r="H178" s="564"/>
      <c r="I178" s="455">
        <f>SUM(G178:H178)</f>
        <v>0</v>
      </c>
      <c r="J178" s="1188" t="s">
        <v>1400</v>
      </c>
    </row>
    <row r="179" spans="1:10" ht="12.75" customHeight="1">
      <c r="A179" s="458" t="s">
        <v>1204</v>
      </c>
      <c r="B179" s="455">
        <f t="shared" ref="B179:I179" si="29">SUM(B175:B178)</f>
        <v>4</v>
      </c>
      <c r="C179" s="455">
        <f t="shared" si="29"/>
        <v>0</v>
      </c>
      <c r="D179" s="455">
        <f t="shared" si="29"/>
        <v>0</v>
      </c>
      <c r="E179" s="455">
        <f t="shared" si="29"/>
        <v>0</v>
      </c>
      <c r="F179" s="455">
        <f t="shared" si="29"/>
        <v>0</v>
      </c>
      <c r="G179" s="455">
        <f t="shared" si="29"/>
        <v>0</v>
      </c>
      <c r="H179" s="455">
        <f t="shared" si="29"/>
        <v>4</v>
      </c>
      <c r="I179" s="455">
        <f t="shared" si="29"/>
        <v>4</v>
      </c>
      <c r="J179" s="1188" t="s">
        <v>1395</v>
      </c>
    </row>
    <row r="181" spans="1:10" ht="12.75" customHeight="1">
      <c r="A181" s="96" t="s">
        <v>2055</v>
      </c>
      <c r="B181" s="566">
        <v>14</v>
      </c>
      <c r="C181" s="566">
        <v>0</v>
      </c>
      <c r="D181" s="566">
        <v>0</v>
      </c>
      <c r="E181" s="566">
        <v>0</v>
      </c>
      <c r="F181" s="455">
        <f>SUM(C181:E181)</f>
        <v>0</v>
      </c>
      <c r="G181" s="564">
        <v>1</v>
      </c>
      <c r="H181" s="564">
        <v>13</v>
      </c>
      <c r="I181" s="455">
        <f>SUM(G181:H181)</f>
        <v>14</v>
      </c>
      <c r="J181" s="1188" t="s">
        <v>1401</v>
      </c>
    </row>
    <row r="182" spans="1:10" ht="12.75" customHeight="1">
      <c r="A182" s="96" t="s">
        <v>2056</v>
      </c>
      <c r="B182" s="566">
        <v>23</v>
      </c>
      <c r="C182" s="566">
        <v>0</v>
      </c>
      <c r="D182" s="566">
        <v>0</v>
      </c>
      <c r="E182" s="566">
        <v>0</v>
      </c>
      <c r="F182" s="455">
        <f>SUM(C182:E182)</f>
        <v>0</v>
      </c>
      <c r="G182" s="564">
        <v>0</v>
      </c>
      <c r="H182" s="564">
        <v>23</v>
      </c>
      <c r="I182" s="455">
        <f>SUM(G182:H182)</f>
        <v>23</v>
      </c>
      <c r="J182" s="1188" t="s">
        <v>1402</v>
      </c>
    </row>
    <row r="183" spans="1:10" ht="12.75" customHeight="1">
      <c r="A183" s="96" t="s">
        <v>255</v>
      </c>
      <c r="B183" s="566">
        <v>12</v>
      </c>
      <c r="C183" s="566">
        <v>0</v>
      </c>
      <c r="D183" s="566">
        <v>0</v>
      </c>
      <c r="E183" s="566">
        <v>0</v>
      </c>
      <c r="F183" s="455">
        <f>SUM(C183:E183)</f>
        <v>0</v>
      </c>
      <c r="G183" s="564">
        <v>0</v>
      </c>
      <c r="H183" s="564">
        <v>12</v>
      </c>
      <c r="I183" s="455">
        <f>SUM(G183:H183)</f>
        <v>12</v>
      </c>
      <c r="J183" s="1188" t="s">
        <v>1403</v>
      </c>
    </row>
    <row r="184" spans="1:10" ht="12.75" customHeight="1">
      <c r="A184" s="96" t="s">
        <v>256</v>
      </c>
      <c r="B184" s="566"/>
      <c r="C184" s="566"/>
      <c r="D184" s="566"/>
      <c r="E184" s="566"/>
      <c r="F184" s="455">
        <f>SUM(C184:E184)</f>
        <v>0</v>
      </c>
      <c r="G184" s="564"/>
      <c r="H184" s="564"/>
      <c r="I184" s="455">
        <f>SUM(G184:H184)</f>
        <v>0</v>
      </c>
      <c r="J184" s="1188" t="s">
        <v>1404</v>
      </c>
    </row>
    <row r="185" spans="1:10" ht="12.75" customHeight="1">
      <c r="A185" s="459" t="s">
        <v>1943</v>
      </c>
      <c r="B185" s="455">
        <f t="shared" ref="B185:I185" si="30">SUM(B181:B184)</f>
        <v>49</v>
      </c>
      <c r="C185" s="455">
        <f t="shared" si="30"/>
        <v>0</v>
      </c>
      <c r="D185" s="455">
        <f t="shared" si="30"/>
        <v>0</v>
      </c>
      <c r="E185" s="455">
        <f t="shared" si="30"/>
        <v>0</v>
      </c>
      <c r="F185" s="455">
        <f t="shared" si="30"/>
        <v>0</v>
      </c>
      <c r="G185" s="455">
        <f t="shared" si="30"/>
        <v>1</v>
      </c>
      <c r="H185" s="455">
        <f t="shared" si="30"/>
        <v>48</v>
      </c>
      <c r="I185" s="455">
        <f t="shared" si="30"/>
        <v>49</v>
      </c>
      <c r="J185" s="1188" t="s">
        <v>1396</v>
      </c>
    </row>
    <row r="187" spans="1:10" ht="12.75" customHeight="1">
      <c r="A187" s="96" t="s">
        <v>1337</v>
      </c>
      <c r="B187" s="566">
        <v>2</v>
      </c>
      <c r="C187" s="566">
        <v>0</v>
      </c>
      <c r="D187" s="566">
        <v>0</v>
      </c>
      <c r="E187" s="566">
        <v>0</v>
      </c>
      <c r="F187" s="455">
        <f>SUM(C187:E187)</f>
        <v>0</v>
      </c>
      <c r="G187" s="564">
        <v>0</v>
      </c>
      <c r="H187" s="564">
        <v>2</v>
      </c>
      <c r="I187" s="455">
        <f>SUM(G187:H187)</f>
        <v>2</v>
      </c>
      <c r="J187" s="1188" t="s">
        <v>1338</v>
      </c>
    </row>
    <row r="188" spans="1:10" ht="12.75" customHeight="1">
      <c r="A188" s="96" t="s">
        <v>1339</v>
      </c>
      <c r="B188" s="566"/>
      <c r="C188" s="566"/>
      <c r="D188" s="566"/>
      <c r="E188" s="566"/>
      <c r="F188" s="455">
        <f>SUM(C188:E188)</f>
        <v>0</v>
      </c>
      <c r="G188" s="564"/>
      <c r="H188" s="564"/>
      <c r="I188" s="455">
        <f>SUM(G188:H188)</f>
        <v>0</v>
      </c>
      <c r="J188" s="1188" t="s">
        <v>1340</v>
      </c>
    </row>
    <row r="189" spans="1:10" ht="12.75" customHeight="1">
      <c r="A189" s="96" t="s">
        <v>1341</v>
      </c>
      <c r="B189" s="566"/>
      <c r="C189" s="566"/>
      <c r="D189" s="566"/>
      <c r="E189" s="566"/>
      <c r="F189" s="455">
        <f>SUM(C189:E189)</f>
        <v>0</v>
      </c>
      <c r="G189" s="564"/>
      <c r="H189" s="564"/>
      <c r="I189" s="455">
        <f>SUM(G189:H189)</f>
        <v>0</v>
      </c>
      <c r="J189" s="1188" t="s">
        <v>1342</v>
      </c>
    </row>
    <row r="190" spans="1:10" ht="12.75" customHeight="1">
      <c r="A190" s="458" t="s">
        <v>1343</v>
      </c>
      <c r="B190" s="455">
        <f t="shared" ref="B190:I190" si="31">SUM(B187:B189)</f>
        <v>2</v>
      </c>
      <c r="C190" s="455">
        <f t="shared" si="31"/>
        <v>0</v>
      </c>
      <c r="D190" s="455">
        <f t="shared" si="31"/>
        <v>0</v>
      </c>
      <c r="E190" s="455">
        <f t="shared" si="31"/>
        <v>0</v>
      </c>
      <c r="F190" s="455">
        <f t="shared" si="31"/>
        <v>0</v>
      </c>
      <c r="G190" s="455">
        <f t="shared" si="31"/>
        <v>0</v>
      </c>
      <c r="H190" s="455">
        <f t="shared" si="31"/>
        <v>2</v>
      </c>
      <c r="I190" s="455">
        <f t="shared" si="31"/>
        <v>2</v>
      </c>
      <c r="J190" s="1188" t="s">
        <v>1344</v>
      </c>
    </row>
    <row r="192" spans="1:10" ht="12.75" customHeight="1">
      <c r="A192" s="99" t="s">
        <v>1345</v>
      </c>
      <c r="B192" s="566">
        <v>102</v>
      </c>
      <c r="C192" s="566">
        <v>0</v>
      </c>
      <c r="D192" s="566">
        <v>0</v>
      </c>
      <c r="E192" s="566">
        <v>0</v>
      </c>
      <c r="F192" s="455">
        <f>SUM(C192:E192)</f>
        <v>0</v>
      </c>
      <c r="G192" s="564">
        <v>0</v>
      </c>
      <c r="H192" s="564">
        <v>102</v>
      </c>
      <c r="I192" s="455">
        <f>SUM(G192:H192)</f>
        <v>102</v>
      </c>
      <c r="J192" s="1188" t="s">
        <v>1346</v>
      </c>
    </row>
    <row r="193" spans="1:10" ht="12.75" customHeight="1">
      <c r="A193" s="99" t="s">
        <v>1347</v>
      </c>
      <c r="B193" s="566">
        <v>235</v>
      </c>
      <c r="C193" s="566">
        <v>0</v>
      </c>
      <c r="D193" s="566">
        <v>0</v>
      </c>
      <c r="E193" s="566">
        <v>0</v>
      </c>
      <c r="F193" s="455">
        <f>SUM(C193:E193)</f>
        <v>0</v>
      </c>
      <c r="G193" s="564">
        <v>0</v>
      </c>
      <c r="H193" s="564">
        <v>235</v>
      </c>
      <c r="I193" s="455">
        <f>SUM(G193:H193)</f>
        <v>235</v>
      </c>
      <c r="J193" s="1188" t="s">
        <v>1348</v>
      </c>
    </row>
    <row r="194" spans="1:10" ht="12.75" customHeight="1">
      <c r="A194" s="99" t="s">
        <v>1518</v>
      </c>
      <c r="B194" s="566"/>
      <c r="C194" s="566"/>
      <c r="D194" s="566"/>
      <c r="E194" s="566"/>
      <c r="F194" s="455">
        <f>SUM(C194:E194)</f>
        <v>0</v>
      </c>
      <c r="G194" s="564"/>
      <c r="H194" s="564"/>
      <c r="I194" s="455">
        <f>SUM(G194:H194)</f>
        <v>0</v>
      </c>
      <c r="J194" s="1188" t="s">
        <v>1784</v>
      </c>
    </row>
    <row r="195" spans="1:10" ht="12.75" customHeight="1">
      <c r="A195" s="458" t="s">
        <v>1349</v>
      </c>
      <c r="B195" s="455">
        <f t="shared" ref="B195:I195" si="32">SUM(B192:B194)</f>
        <v>337</v>
      </c>
      <c r="C195" s="455">
        <f t="shared" si="32"/>
        <v>0</v>
      </c>
      <c r="D195" s="455">
        <f t="shared" si="32"/>
        <v>0</v>
      </c>
      <c r="E195" s="455">
        <f t="shared" si="32"/>
        <v>0</v>
      </c>
      <c r="F195" s="455">
        <f t="shared" si="32"/>
        <v>0</v>
      </c>
      <c r="G195" s="455">
        <f t="shared" si="32"/>
        <v>0</v>
      </c>
      <c r="H195" s="455">
        <f t="shared" si="32"/>
        <v>337</v>
      </c>
      <c r="I195" s="455">
        <f t="shared" si="32"/>
        <v>337</v>
      </c>
      <c r="J195" s="1188" t="s">
        <v>1350</v>
      </c>
    </row>
    <row r="197" spans="1:10" ht="12.75" customHeight="1">
      <c r="A197" s="96" t="s">
        <v>1351</v>
      </c>
      <c r="B197" s="566"/>
      <c r="C197" s="566"/>
      <c r="D197" s="566"/>
      <c r="E197" s="566"/>
      <c r="F197" s="455">
        <f>SUM(C197:E197)</f>
        <v>0</v>
      </c>
      <c r="G197" s="1020"/>
      <c r="H197" s="564"/>
      <c r="I197" s="455">
        <f>SUM(G197:H197)</f>
        <v>0</v>
      </c>
      <c r="J197" s="1188" t="s">
        <v>1352</v>
      </c>
    </row>
    <row r="198" spans="1:10" ht="12.75" customHeight="1">
      <c r="A198" s="96" t="s">
        <v>1353</v>
      </c>
      <c r="B198" s="566"/>
      <c r="C198" s="566"/>
      <c r="D198" s="566"/>
      <c r="E198" s="566"/>
      <c r="F198" s="455">
        <f>SUM(C198:E198)</f>
        <v>0</v>
      </c>
      <c r="G198" s="1020"/>
      <c r="H198" s="564"/>
      <c r="I198" s="455">
        <f>SUM(G198:H198)</f>
        <v>0</v>
      </c>
      <c r="J198" s="1188" t="s">
        <v>1354</v>
      </c>
    </row>
    <row r="199" spans="1:10" ht="12.75" customHeight="1">
      <c r="A199" s="96" t="s">
        <v>1519</v>
      </c>
      <c r="B199" s="566"/>
      <c r="C199" s="566"/>
      <c r="D199" s="566"/>
      <c r="E199" s="566"/>
      <c r="F199" s="455">
        <f>SUM(C199:E199)</f>
        <v>0</v>
      </c>
      <c r="G199" s="1020"/>
      <c r="H199" s="564"/>
      <c r="I199" s="455">
        <f>SUM(G199:H199)</f>
        <v>0</v>
      </c>
      <c r="J199" s="1188" t="s">
        <v>1785</v>
      </c>
    </row>
    <row r="200" spans="1:10" ht="12.75" customHeight="1">
      <c r="A200" s="96" t="s">
        <v>1520</v>
      </c>
      <c r="B200" s="566"/>
      <c r="C200" s="566"/>
      <c r="D200" s="566"/>
      <c r="E200" s="566"/>
      <c r="F200" s="455">
        <f>SUM(C200:E200)</f>
        <v>0</v>
      </c>
      <c r="G200" s="1020"/>
      <c r="H200" s="564"/>
      <c r="I200" s="455">
        <f>SUM(G200:H200)</f>
        <v>0</v>
      </c>
      <c r="J200" s="1188" t="s">
        <v>1355</v>
      </c>
    </row>
    <row r="201" spans="1:10" ht="12.75" customHeight="1">
      <c r="A201" s="96" t="s">
        <v>1521</v>
      </c>
      <c r="B201" s="566"/>
      <c r="C201" s="566"/>
      <c r="D201" s="566"/>
      <c r="E201" s="566"/>
      <c r="F201" s="455">
        <f>SUM(C201:E201)</f>
        <v>0</v>
      </c>
      <c r="G201" s="1020"/>
      <c r="H201" s="564"/>
      <c r="I201" s="455">
        <f>SUM(G201:H201)</f>
        <v>0</v>
      </c>
      <c r="J201" s="1188" t="s">
        <v>1356</v>
      </c>
    </row>
    <row r="202" spans="1:10" ht="12.75" customHeight="1">
      <c r="A202" s="458" t="s">
        <v>1357</v>
      </c>
      <c r="B202" s="455">
        <f t="shared" ref="B202:I202" si="33">SUM(B197:B201)</f>
        <v>0</v>
      </c>
      <c r="C202" s="455">
        <f t="shared" si="33"/>
        <v>0</v>
      </c>
      <c r="D202" s="455">
        <f t="shared" si="33"/>
        <v>0</v>
      </c>
      <c r="E202" s="455">
        <f t="shared" si="33"/>
        <v>0</v>
      </c>
      <c r="F202" s="455">
        <f t="shared" si="33"/>
        <v>0</v>
      </c>
      <c r="G202" s="455">
        <f t="shared" si="33"/>
        <v>0</v>
      </c>
      <c r="H202" s="455">
        <f t="shared" si="33"/>
        <v>0</v>
      </c>
      <c r="I202" s="455">
        <f t="shared" si="33"/>
        <v>0</v>
      </c>
      <c r="J202" s="1188" t="s">
        <v>1572</v>
      </c>
    </row>
    <row r="204" spans="1:10" ht="12.75" customHeight="1">
      <c r="A204" s="458" t="s">
        <v>1195</v>
      </c>
      <c r="B204" s="455">
        <f t="shared" ref="B204:I204" si="34">B173+B179+B185+B190+B195+B202</f>
        <v>392</v>
      </c>
      <c r="C204" s="455">
        <f t="shared" si="34"/>
        <v>0</v>
      </c>
      <c r="D204" s="455">
        <f t="shared" si="34"/>
        <v>0</v>
      </c>
      <c r="E204" s="455">
        <f t="shared" si="34"/>
        <v>0</v>
      </c>
      <c r="F204" s="455">
        <f t="shared" si="34"/>
        <v>0</v>
      </c>
      <c r="G204" s="460">
        <f t="shared" si="34"/>
        <v>1</v>
      </c>
      <c r="H204" s="460">
        <f t="shared" si="34"/>
        <v>391</v>
      </c>
      <c r="I204" s="455">
        <f t="shared" si="34"/>
        <v>392</v>
      </c>
      <c r="J204" s="1188" t="s">
        <v>1573</v>
      </c>
    </row>
    <row r="206" spans="1:10" ht="12.75" customHeight="1">
      <c r="A206" s="100" t="s">
        <v>1574</v>
      </c>
    </row>
    <row r="207" spans="1:10" ht="12.75" customHeight="1">
      <c r="A207" s="96" t="s">
        <v>1575</v>
      </c>
      <c r="B207" s="566">
        <v>2</v>
      </c>
      <c r="C207" s="566">
        <v>0</v>
      </c>
      <c r="D207" s="566">
        <v>0</v>
      </c>
      <c r="E207" s="566">
        <v>0</v>
      </c>
      <c r="F207" s="455">
        <f>SUM(C207:E207)</f>
        <v>0</v>
      </c>
      <c r="G207" s="564">
        <v>1</v>
      </c>
      <c r="H207" s="564">
        <v>1</v>
      </c>
      <c r="I207" s="455">
        <f>SUM(G207:H207)</f>
        <v>2</v>
      </c>
      <c r="J207" s="1188" t="s">
        <v>1576</v>
      </c>
    </row>
    <row r="208" spans="1:10" ht="12.75" customHeight="1">
      <c r="A208" s="96" t="s">
        <v>1577</v>
      </c>
      <c r="B208" s="566"/>
      <c r="C208" s="566"/>
      <c r="D208" s="566"/>
      <c r="E208" s="566"/>
      <c r="F208" s="455">
        <f>SUM(C208:E208)</f>
        <v>0</v>
      </c>
      <c r="G208" s="564"/>
      <c r="H208" s="564"/>
      <c r="I208" s="455">
        <f>SUM(G208:H208)</f>
        <v>0</v>
      </c>
      <c r="J208" s="1188" t="s">
        <v>1578</v>
      </c>
    </row>
    <row r="209" spans="1:10" ht="12.75" customHeight="1">
      <c r="A209" s="96" t="s">
        <v>1579</v>
      </c>
      <c r="B209" s="566"/>
      <c r="C209" s="566"/>
      <c r="D209" s="566"/>
      <c r="E209" s="566"/>
      <c r="F209" s="455">
        <f>SUM(C209:E209)</f>
        <v>0</v>
      </c>
      <c r="G209" s="564"/>
      <c r="H209" s="564"/>
      <c r="I209" s="455">
        <f>SUM(G209:H209)</f>
        <v>0</v>
      </c>
      <c r="J209" s="1188" t="s">
        <v>1580</v>
      </c>
    </row>
    <row r="210" spans="1:10" ht="12.75" customHeight="1">
      <c r="A210" s="96" t="s">
        <v>2057</v>
      </c>
      <c r="B210" s="566"/>
      <c r="C210" s="566"/>
      <c r="D210" s="566"/>
      <c r="E210" s="566"/>
      <c r="F210" s="455">
        <f>SUM(C210:E210)</f>
        <v>0</v>
      </c>
      <c r="G210" s="564"/>
      <c r="H210" s="564"/>
      <c r="I210" s="455">
        <f>SUM(G210:H210)</f>
        <v>0</v>
      </c>
      <c r="J210" s="1188" t="s">
        <v>1581</v>
      </c>
    </row>
    <row r="211" spans="1:10" ht="12.75" customHeight="1">
      <c r="A211" s="458" t="s">
        <v>1582</v>
      </c>
      <c r="B211" s="455">
        <f t="shared" ref="B211:I211" si="35">SUM(B207:B210)</f>
        <v>2</v>
      </c>
      <c r="C211" s="455">
        <f t="shared" si="35"/>
        <v>0</v>
      </c>
      <c r="D211" s="455">
        <f t="shared" si="35"/>
        <v>0</v>
      </c>
      <c r="E211" s="455">
        <f t="shared" si="35"/>
        <v>0</v>
      </c>
      <c r="F211" s="455">
        <f t="shared" si="35"/>
        <v>0</v>
      </c>
      <c r="G211" s="455">
        <f t="shared" si="35"/>
        <v>1</v>
      </c>
      <c r="H211" s="455">
        <f t="shared" si="35"/>
        <v>1</v>
      </c>
      <c r="I211" s="455">
        <f t="shared" si="35"/>
        <v>2</v>
      </c>
      <c r="J211" s="1188" t="s">
        <v>1583</v>
      </c>
    </row>
    <row r="213" spans="1:10" ht="12.75" customHeight="1">
      <c r="A213" s="96" t="s">
        <v>1584</v>
      </c>
      <c r="B213" s="566">
        <v>2</v>
      </c>
      <c r="C213" s="566">
        <v>0</v>
      </c>
      <c r="D213" s="566">
        <v>0</v>
      </c>
      <c r="E213" s="566">
        <v>0</v>
      </c>
      <c r="F213" s="455">
        <f>SUM(C213:E213)</f>
        <v>0</v>
      </c>
      <c r="G213" s="564">
        <v>0</v>
      </c>
      <c r="H213" s="564">
        <v>2</v>
      </c>
      <c r="I213" s="455">
        <f>SUM(G213:H213)</f>
        <v>2</v>
      </c>
      <c r="J213" s="1188" t="s">
        <v>1585</v>
      </c>
    </row>
    <row r="214" spans="1:10" ht="12.75" customHeight="1">
      <c r="A214" s="96" t="s">
        <v>257</v>
      </c>
      <c r="B214" s="566"/>
      <c r="C214" s="566"/>
      <c r="D214" s="566"/>
      <c r="E214" s="566"/>
      <c r="F214" s="455">
        <f>SUM(C214:E214)</f>
        <v>0</v>
      </c>
      <c r="G214" s="564"/>
      <c r="H214" s="564"/>
      <c r="I214" s="455">
        <f>SUM(G214:H214)</f>
        <v>0</v>
      </c>
      <c r="J214" s="1188" t="s">
        <v>1586</v>
      </c>
    </row>
    <row r="215" spans="1:10" ht="12.75" customHeight="1">
      <c r="A215" s="96" t="s">
        <v>258</v>
      </c>
      <c r="B215" s="566"/>
      <c r="C215" s="566"/>
      <c r="D215" s="566"/>
      <c r="E215" s="566"/>
      <c r="F215" s="455">
        <f>SUM(C215:E215)</f>
        <v>0</v>
      </c>
      <c r="G215" s="564"/>
      <c r="H215" s="564"/>
      <c r="I215" s="455">
        <f>SUM(G215:H215)</f>
        <v>0</v>
      </c>
      <c r="J215" s="1188" t="s">
        <v>1587</v>
      </c>
    </row>
    <row r="216" spans="1:10" ht="12.75" customHeight="1">
      <c r="A216" s="458" t="s">
        <v>1588</v>
      </c>
      <c r="B216" s="455">
        <f t="shared" ref="B216:I216" si="36">SUM(B213:B215)</f>
        <v>2</v>
      </c>
      <c r="C216" s="455">
        <f t="shared" si="36"/>
        <v>0</v>
      </c>
      <c r="D216" s="455">
        <f t="shared" si="36"/>
        <v>0</v>
      </c>
      <c r="E216" s="455">
        <f t="shared" si="36"/>
        <v>0</v>
      </c>
      <c r="F216" s="455">
        <f t="shared" si="36"/>
        <v>0</v>
      </c>
      <c r="G216" s="455">
        <f t="shared" si="36"/>
        <v>0</v>
      </c>
      <c r="H216" s="455">
        <f t="shared" si="36"/>
        <v>2</v>
      </c>
      <c r="I216" s="455">
        <f t="shared" si="36"/>
        <v>2</v>
      </c>
      <c r="J216" s="1188" t="s">
        <v>1589</v>
      </c>
    </row>
    <row r="218" spans="1:10" ht="12.75" customHeight="1">
      <c r="A218" s="96" t="s">
        <v>157</v>
      </c>
      <c r="B218" s="566"/>
      <c r="C218" s="566"/>
      <c r="D218" s="566"/>
      <c r="E218" s="566"/>
      <c r="F218" s="455">
        <f>SUM(C218:E218)</f>
        <v>0</v>
      </c>
      <c r="G218" s="564"/>
      <c r="H218" s="564"/>
      <c r="I218" s="455">
        <f>SUM(G218:H218)</f>
        <v>0</v>
      </c>
      <c r="J218" s="1188" t="s">
        <v>1786</v>
      </c>
    </row>
    <row r="219" spans="1:10" ht="12.75" customHeight="1">
      <c r="A219" s="96" t="s">
        <v>1590</v>
      </c>
      <c r="B219" s="566"/>
      <c r="C219" s="566"/>
      <c r="D219" s="566"/>
      <c r="E219" s="566"/>
      <c r="F219" s="455">
        <f>SUM(C219:E219)</f>
        <v>0</v>
      </c>
      <c r="G219" s="564"/>
      <c r="H219" s="564"/>
      <c r="I219" s="455">
        <f>SUM(G219:H219)</f>
        <v>0</v>
      </c>
      <c r="J219" s="1188" t="s">
        <v>1591</v>
      </c>
    </row>
    <row r="220" spans="1:10" ht="12.75" customHeight="1">
      <c r="A220" s="96" t="s">
        <v>729</v>
      </c>
      <c r="B220" s="566"/>
      <c r="C220" s="566"/>
      <c r="D220" s="566"/>
      <c r="E220" s="566"/>
      <c r="F220" s="455">
        <f>SUM(C220:E220)</f>
        <v>0</v>
      </c>
      <c r="G220" s="564"/>
      <c r="H220" s="564"/>
      <c r="I220" s="455">
        <f>SUM(G220:H220)</f>
        <v>0</v>
      </c>
      <c r="J220" s="1188" t="s">
        <v>1592</v>
      </c>
    </row>
    <row r="221" spans="1:10" ht="12.75" customHeight="1">
      <c r="A221" s="458" t="s">
        <v>1593</v>
      </c>
      <c r="B221" s="455">
        <f t="shared" ref="B221:I221" si="37">SUM(B218:B220)</f>
        <v>0</v>
      </c>
      <c r="C221" s="455">
        <f t="shared" si="37"/>
        <v>0</v>
      </c>
      <c r="D221" s="455">
        <f t="shared" si="37"/>
        <v>0</v>
      </c>
      <c r="E221" s="455">
        <f t="shared" si="37"/>
        <v>0</v>
      </c>
      <c r="F221" s="455">
        <f t="shared" si="37"/>
        <v>0</v>
      </c>
      <c r="G221" s="455">
        <f t="shared" si="37"/>
        <v>0</v>
      </c>
      <c r="H221" s="455">
        <f t="shared" si="37"/>
        <v>0</v>
      </c>
      <c r="I221" s="455">
        <f t="shared" si="37"/>
        <v>0</v>
      </c>
      <c r="J221" s="1188" t="s">
        <v>1594</v>
      </c>
    </row>
    <row r="223" spans="1:10" ht="12.75" customHeight="1">
      <c r="A223" s="96" t="s">
        <v>1100</v>
      </c>
      <c r="B223" s="566">
        <v>4</v>
      </c>
      <c r="C223" s="566">
        <v>0</v>
      </c>
      <c r="D223" s="566">
        <v>0</v>
      </c>
      <c r="E223" s="566">
        <v>0</v>
      </c>
      <c r="F223" s="455">
        <f>SUM(C223:E223)</f>
        <v>0</v>
      </c>
      <c r="G223" s="564">
        <v>0</v>
      </c>
      <c r="H223" s="564">
        <v>4</v>
      </c>
      <c r="I223" s="455">
        <f>SUM(G223:H223)</f>
        <v>4</v>
      </c>
      <c r="J223" s="1188" t="s">
        <v>1787</v>
      </c>
    </row>
    <row r="224" spans="1:10" ht="12.75" customHeight="1">
      <c r="A224" s="96" t="s">
        <v>259</v>
      </c>
      <c r="B224" s="566">
        <v>4</v>
      </c>
      <c r="C224" s="566">
        <v>0</v>
      </c>
      <c r="D224" s="566">
        <v>0</v>
      </c>
      <c r="E224" s="566">
        <v>0</v>
      </c>
      <c r="F224" s="455">
        <f>SUM(C224:E224)</f>
        <v>0</v>
      </c>
      <c r="G224" s="564">
        <v>0</v>
      </c>
      <c r="H224" s="564">
        <v>4</v>
      </c>
      <c r="I224" s="455">
        <f>SUM(G224:H224)</f>
        <v>4</v>
      </c>
      <c r="J224" s="1188" t="s">
        <v>1788</v>
      </c>
    </row>
    <row r="225" spans="1:10" ht="12.75" customHeight="1">
      <c r="A225" s="96" t="s">
        <v>1206</v>
      </c>
      <c r="B225" s="566">
        <v>3</v>
      </c>
      <c r="C225" s="566">
        <v>0</v>
      </c>
      <c r="D225" s="566">
        <v>0</v>
      </c>
      <c r="E225" s="566">
        <v>0</v>
      </c>
      <c r="F225" s="455">
        <f>SUM(C225:E225)</f>
        <v>0</v>
      </c>
      <c r="G225" s="564">
        <v>0</v>
      </c>
      <c r="H225" s="564">
        <v>3</v>
      </c>
      <c r="I225" s="455">
        <f>SUM(G225:H225)</f>
        <v>3</v>
      </c>
      <c r="J225" s="1188" t="s">
        <v>1789</v>
      </c>
    </row>
    <row r="226" spans="1:10" ht="12.75" customHeight="1">
      <c r="A226" s="96" t="s">
        <v>1207</v>
      </c>
      <c r="B226" s="566"/>
      <c r="C226" s="566"/>
      <c r="D226" s="566"/>
      <c r="E226" s="566"/>
      <c r="F226" s="455">
        <f>SUM(C226:E226)</f>
        <v>0</v>
      </c>
      <c r="G226" s="564"/>
      <c r="H226" s="564"/>
      <c r="I226" s="455">
        <f>SUM(G226:H226)</f>
        <v>0</v>
      </c>
      <c r="J226" s="1188" t="s">
        <v>1790</v>
      </c>
    </row>
    <row r="227" spans="1:10" ht="12.75" customHeight="1">
      <c r="A227" s="458" t="s">
        <v>1099</v>
      </c>
      <c r="B227" s="455">
        <f t="shared" ref="B227:I227" si="38">SUM(B223:B226)</f>
        <v>11</v>
      </c>
      <c r="C227" s="455">
        <f t="shared" si="38"/>
        <v>0</v>
      </c>
      <c r="D227" s="455">
        <f t="shared" si="38"/>
        <v>0</v>
      </c>
      <c r="E227" s="455">
        <f t="shared" si="38"/>
        <v>0</v>
      </c>
      <c r="F227" s="455">
        <f t="shared" si="38"/>
        <v>0</v>
      </c>
      <c r="G227" s="455">
        <f t="shared" si="38"/>
        <v>0</v>
      </c>
      <c r="H227" s="455">
        <f t="shared" si="38"/>
        <v>11</v>
      </c>
      <c r="I227" s="455">
        <f t="shared" si="38"/>
        <v>11</v>
      </c>
      <c r="J227" s="1188" t="s">
        <v>1791</v>
      </c>
    </row>
    <row r="229" spans="1:10" ht="12.75" customHeight="1">
      <c r="A229" s="96" t="s">
        <v>1595</v>
      </c>
      <c r="B229" s="566"/>
      <c r="C229" s="566"/>
      <c r="D229" s="566"/>
      <c r="E229" s="566"/>
      <c r="F229" s="455">
        <f>SUM(C229:E229)</f>
        <v>0</v>
      </c>
      <c r="G229" s="564"/>
      <c r="H229" s="564"/>
      <c r="I229" s="455">
        <f>SUM(G229:H229)</f>
        <v>0</v>
      </c>
      <c r="J229" s="1188" t="s">
        <v>1596</v>
      </c>
    </row>
    <row r="230" spans="1:10" ht="12.75" customHeight="1">
      <c r="A230" s="96" t="s">
        <v>1597</v>
      </c>
      <c r="B230" s="566"/>
      <c r="C230" s="566"/>
      <c r="D230" s="566"/>
      <c r="E230" s="566"/>
      <c r="F230" s="455">
        <f>SUM(C230:E230)</f>
        <v>0</v>
      </c>
      <c r="G230" s="564"/>
      <c r="H230" s="564"/>
      <c r="I230" s="455">
        <f>SUM(G230:H230)</f>
        <v>0</v>
      </c>
      <c r="J230" s="1188" t="s">
        <v>1598</v>
      </c>
    </row>
    <row r="231" spans="1:10" ht="12.75" customHeight="1">
      <c r="A231" s="459" t="s">
        <v>1599</v>
      </c>
      <c r="B231" s="455">
        <f t="shared" ref="B231:I231" si="39">SUM(B229:B230)</f>
        <v>0</v>
      </c>
      <c r="C231" s="455">
        <f t="shared" si="39"/>
        <v>0</v>
      </c>
      <c r="D231" s="455">
        <f t="shared" si="39"/>
        <v>0</v>
      </c>
      <c r="E231" s="455">
        <f t="shared" si="39"/>
        <v>0</v>
      </c>
      <c r="F231" s="455">
        <f t="shared" si="39"/>
        <v>0</v>
      </c>
      <c r="G231" s="455">
        <f t="shared" si="39"/>
        <v>0</v>
      </c>
      <c r="H231" s="455">
        <f t="shared" si="39"/>
        <v>0</v>
      </c>
      <c r="I231" s="455">
        <f t="shared" si="39"/>
        <v>0</v>
      </c>
      <c r="J231" s="1188" t="s">
        <v>1600</v>
      </c>
    </row>
    <row r="233" spans="1:10" ht="12.75" customHeight="1">
      <c r="A233" s="96" t="s">
        <v>1601</v>
      </c>
      <c r="B233" s="566"/>
      <c r="C233" s="566"/>
      <c r="D233" s="566"/>
      <c r="E233" s="566"/>
      <c r="F233" s="455">
        <f>SUM(C233:E233)</f>
        <v>0</v>
      </c>
      <c r="G233" s="564"/>
      <c r="H233" s="564"/>
      <c r="I233" s="455">
        <f>SUM(G233:H233)</f>
        <v>0</v>
      </c>
      <c r="J233" s="1188" t="s">
        <v>1602</v>
      </c>
    </row>
    <row r="234" spans="1:10" ht="12.75" customHeight="1">
      <c r="A234" s="96" t="s">
        <v>1234</v>
      </c>
      <c r="B234" s="566"/>
      <c r="C234" s="566"/>
      <c r="D234" s="566"/>
      <c r="E234" s="566"/>
      <c r="F234" s="455">
        <f>SUM(C234:E234)</f>
        <v>0</v>
      </c>
      <c r="G234" s="564"/>
      <c r="H234" s="564"/>
      <c r="I234" s="455">
        <f>SUM(G234:H234)</f>
        <v>0</v>
      </c>
      <c r="J234" s="1188" t="s">
        <v>1235</v>
      </c>
    </row>
    <row r="235" spans="1:10" ht="12.75" customHeight="1">
      <c r="A235" s="458" t="s">
        <v>1116</v>
      </c>
      <c r="B235" s="455">
        <f t="shared" ref="B235:I235" si="40">SUM(B233:B234)</f>
        <v>0</v>
      </c>
      <c r="C235" s="455">
        <f t="shared" si="40"/>
        <v>0</v>
      </c>
      <c r="D235" s="455">
        <f t="shared" si="40"/>
        <v>0</v>
      </c>
      <c r="E235" s="455">
        <f t="shared" si="40"/>
        <v>0</v>
      </c>
      <c r="F235" s="455">
        <f t="shared" si="40"/>
        <v>0</v>
      </c>
      <c r="G235" s="455">
        <f t="shared" si="40"/>
        <v>0</v>
      </c>
      <c r="H235" s="455">
        <f t="shared" si="40"/>
        <v>0</v>
      </c>
      <c r="I235" s="455">
        <f t="shared" si="40"/>
        <v>0</v>
      </c>
      <c r="J235" s="1188" t="s">
        <v>1117</v>
      </c>
    </row>
    <row r="237" spans="1:10" ht="12.75" customHeight="1">
      <c r="A237" s="96" t="s">
        <v>409</v>
      </c>
      <c r="B237" s="566">
        <v>14</v>
      </c>
      <c r="C237" s="566">
        <v>0</v>
      </c>
      <c r="D237" s="566">
        <v>0</v>
      </c>
      <c r="E237" s="566">
        <v>0</v>
      </c>
      <c r="F237" s="455">
        <f>SUM(C237:E237)</f>
        <v>0</v>
      </c>
      <c r="G237" s="564">
        <v>0</v>
      </c>
      <c r="H237" s="564">
        <v>14</v>
      </c>
      <c r="I237" s="455">
        <f>SUM(G237:H237)</f>
        <v>14</v>
      </c>
      <c r="J237" s="1188" t="s">
        <v>410</v>
      </c>
    </row>
    <row r="238" spans="1:10" ht="12.75" customHeight="1">
      <c r="A238" s="96" t="s">
        <v>1601</v>
      </c>
      <c r="B238" s="566">
        <v>1</v>
      </c>
      <c r="C238" s="566">
        <v>0</v>
      </c>
      <c r="D238" s="566">
        <v>0</v>
      </c>
      <c r="E238" s="566">
        <v>0</v>
      </c>
      <c r="F238" s="455">
        <f>SUM(C238:E238)</f>
        <v>0</v>
      </c>
      <c r="G238" s="564">
        <v>0</v>
      </c>
      <c r="H238" s="564">
        <v>1</v>
      </c>
      <c r="I238" s="455">
        <f>SUM(G238:H238)</f>
        <v>1</v>
      </c>
      <c r="J238" s="1188" t="s">
        <v>411</v>
      </c>
    </row>
    <row r="239" spans="1:10" ht="12.75" customHeight="1">
      <c r="A239" s="96" t="s">
        <v>1234</v>
      </c>
      <c r="B239" s="566">
        <v>7</v>
      </c>
      <c r="C239" s="566">
        <v>0</v>
      </c>
      <c r="D239" s="566">
        <v>0</v>
      </c>
      <c r="E239" s="566">
        <v>0</v>
      </c>
      <c r="F239" s="455">
        <f>SUM(C239:E239)</f>
        <v>0</v>
      </c>
      <c r="G239" s="564">
        <v>0</v>
      </c>
      <c r="H239" s="564">
        <v>7</v>
      </c>
      <c r="I239" s="455">
        <f>SUM(G239:H239)</f>
        <v>7</v>
      </c>
      <c r="J239" s="1188" t="s">
        <v>412</v>
      </c>
    </row>
    <row r="240" spans="1:10" ht="12.75" customHeight="1">
      <c r="A240" s="96" t="s">
        <v>2058</v>
      </c>
      <c r="B240" s="566"/>
      <c r="C240" s="566"/>
      <c r="D240" s="566"/>
      <c r="E240" s="566"/>
      <c r="F240" s="455">
        <f>SUM(C240:E240)</f>
        <v>0</v>
      </c>
      <c r="G240" s="564"/>
      <c r="H240" s="564"/>
      <c r="I240" s="455">
        <f>SUM(G240:H240)</f>
        <v>0</v>
      </c>
      <c r="J240" s="1188" t="s">
        <v>413</v>
      </c>
    </row>
    <row r="241" spans="1:10" ht="12.75" customHeight="1">
      <c r="A241" s="458" t="s">
        <v>414</v>
      </c>
      <c r="B241" s="455">
        <f t="shared" ref="B241:I241" si="41">SUM(B237:B240)</f>
        <v>22</v>
      </c>
      <c r="C241" s="455">
        <f t="shared" si="41"/>
        <v>0</v>
      </c>
      <c r="D241" s="455">
        <f t="shared" si="41"/>
        <v>0</v>
      </c>
      <c r="E241" s="455">
        <f t="shared" si="41"/>
        <v>0</v>
      </c>
      <c r="F241" s="455">
        <f t="shared" si="41"/>
        <v>0</v>
      </c>
      <c r="G241" s="455">
        <f t="shared" si="41"/>
        <v>0</v>
      </c>
      <c r="H241" s="455">
        <f t="shared" si="41"/>
        <v>22</v>
      </c>
      <c r="I241" s="455">
        <f t="shared" si="41"/>
        <v>22</v>
      </c>
      <c r="J241" s="1188" t="s">
        <v>415</v>
      </c>
    </row>
    <row r="243" spans="1:10" ht="12.75" customHeight="1">
      <c r="A243" s="96" t="s">
        <v>416</v>
      </c>
      <c r="B243" s="566"/>
      <c r="C243" s="566"/>
      <c r="D243" s="566"/>
      <c r="E243" s="566"/>
      <c r="F243" s="455">
        <f>SUM(C243:E243)</f>
        <v>0</v>
      </c>
      <c r="G243" s="564"/>
      <c r="H243" s="564"/>
      <c r="I243" s="455">
        <f>SUM(G243:H243)</f>
        <v>0</v>
      </c>
      <c r="J243" s="1188" t="s">
        <v>417</v>
      </c>
    </row>
    <row r="244" spans="1:10" ht="12.75" customHeight="1">
      <c r="A244" s="459" t="s">
        <v>418</v>
      </c>
      <c r="B244" s="455">
        <f t="shared" ref="B244:I244" si="42">SUM(B243:B243)</f>
        <v>0</v>
      </c>
      <c r="C244" s="455">
        <f t="shared" si="42"/>
        <v>0</v>
      </c>
      <c r="D244" s="455">
        <f t="shared" si="42"/>
        <v>0</v>
      </c>
      <c r="E244" s="455">
        <f t="shared" si="42"/>
        <v>0</v>
      </c>
      <c r="F244" s="455">
        <f t="shared" si="42"/>
        <v>0</v>
      </c>
      <c r="G244" s="455">
        <f t="shared" si="42"/>
        <v>0</v>
      </c>
      <c r="H244" s="455">
        <f t="shared" si="42"/>
        <v>0</v>
      </c>
      <c r="I244" s="455">
        <f t="shared" si="42"/>
        <v>0</v>
      </c>
      <c r="J244" s="1188" t="s">
        <v>419</v>
      </c>
    </row>
    <row r="246" spans="1:10" ht="12.75" customHeight="1">
      <c r="A246" s="96" t="s">
        <v>420</v>
      </c>
      <c r="B246" s="566">
        <v>11</v>
      </c>
      <c r="C246" s="566">
        <v>0</v>
      </c>
      <c r="D246" s="566">
        <v>0</v>
      </c>
      <c r="E246" s="566">
        <v>0</v>
      </c>
      <c r="F246" s="455">
        <f>SUM(C246:E246)</f>
        <v>0</v>
      </c>
      <c r="G246" s="564">
        <v>0</v>
      </c>
      <c r="H246" s="564">
        <v>11</v>
      </c>
      <c r="I246" s="455">
        <f>SUM(G246:H246)</f>
        <v>11</v>
      </c>
      <c r="J246" s="1188" t="s">
        <v>421</v>
      </c>
    </row>
    <row r="247" spans="1:10" ht="12.75" customHeight="1">
      <c r="A247" s="96" t="s">
        <v>422</v>
      </c>
      <c r="B247" s="566"/>
      <c r="C247" s="566"/>
      <c r="D247" s="566"/>
      <c r="E247" s="566"/>
      <c r="F247" s="455">
        <f>SUM(C247:E247)</f>
        <v>0</v>
      </c>
      <c r="G247" s="564"/>
      <c r="H247" s="564"/>
      <c r="I247" s="455">
        <f>SUM(G247:H247)</f>
        <v>0</v>
      </c>
      <c r="J247" s="1188" t="s">
        <v>423</v>
      </c>
    </row>
    <row r="248" spans="1:10" ht="12.75" customHeight="1">
      <c r="A248" s="96" t="s">
        <v>862</v>
      </c>
      <c r="B248" s="566">
        <v>2</v>
      </c>
      <c r="C248" s="566">
        <v>0</v>
      </c>
      <c r="D248" s="566">
        <v>0</v>
      </c>
      <c r="E248" s="566">
        <v>0</v>
      </c>
      <c r="F248" s="455">
        <f>SUM(C248:E248)</f>
        <v>0</v>
      </c>
      <c r="G248" s="564">
        <v>0</v>
      </c>
      <c r="H248" s="564">
        <v>2</v>
      </c>
      <c r="I248" s="455">
        <f>SUM(G248:H248)</f>
        <v>2</v>
      </c>
      <c r="J248" s="1188" t="s">
        <v>863</v>
      </c>
    </row>
    <row r="249" spans="1:10" ht="12.75" customHeight="1">
      <c r="A249" s="96" t="s">
        <v>864</v>
      </c>
      <c r="B249" s="566"/>
      <c r="C249" s="566"/>
      <c r="D249" s="566"/>
      <c r="E249" s="566"/>
      <c r="F249" s="455">
        <f>SUM(C249:E249)</f>
        <v>0</v>
      </c>
      <c r="G249" s="564"/>
      <c r="H249" s="564"/>
      <c r="I249" s="455">
        <f>SUM(G249:H249)</f>
        <v>0</v>
      </c>
      <c r="J249" s="1188" t="s">
        <v>865</v>
      </c>
    </row>
    <row r="250" spans="1:10" ht="12.75" customHeight="1">
      <c r="A250" s="461" t="s">
        <v>866</v>
      </c>
      <c r="B250" s="455">
        <f t="shared" ref="B250:I250" si="43">SUM(B246:B249)</f>
        <v>13</v>
      </c>
      <c r="C250" s="455">
        <f t="shared" si="43"/>
        <v>0</v>
      </c>
      <c r="D250" s="455">
        <f t="shared" si="43"/>
        <v>0</v>
      </c>
      <c r="E250" s="455">
        <f t="shared" si="43"/>
        <v>0</v>
      </c>
      <c r="F250" s="455">
        <f t="shared" si="43"/>
        <v>0</v>
      </c>
      <c r="G250" s="455">
        <f t="shared" si="43"/>
        <v>0</v>
      </c>
      <c r="H250" s="455">
        <f t="shared" si="43"/>
        <v>13</v>
      </c>
      <c r="I250" s="455">
        <f t="shared" si="43"/>
        <v>13</v>
      </c>
      <c r="J250" s="1188" t="s">
        <v>867</v>
      </c>
    </row>
    <row r="252" spans="1:10" ht="12.75" customHeight="1">
      <c r="A252" s="96" t="s">
        <v>868</v>
      </c>
      <c r="B252" s="566"/>
      <c r="C252" s="566"/>
      <c r="D252" s="566"/>
      <c r="E252" s="566"/>
      <c r="F252" s="455">
        <f>SUM(C252:E252)</f>
        <v>0</v>
      </c>
      <c r="G252" s="564"/>
      <c r="H252" s="564"/>
      <c r="I252" s="455">
        <f>SUM(G252:H252)</f>
        <v>0</v>
      </c>
      <c r="J252" s="1188" t="s">
        <v>869</v>
      </c>
    </row>
    <row r="253" spans="1:10" ht="12.75" customHeight="1">
      <c r="A253" s="96" t="s">
        <v>1516</v>
      </c>
      <c r="B253" s="566"/>
      <c r="C253" s="566"/>
      <c r="D253" s="566"/>
      <c r="E253" s="566"/>
      <c r="F253" s="455">
        <f>SUM(C253:E253)</f>
        <v>0</v>
      </c>
      <c r="G253" s="564"/>
      <c r="H253" s="564"/>
      <c r="I253" s="455">
        <f>SUM(G253:H253)</f>
        <v>0</v>
      </c>
      <c r="J253" s="1188" t="s">
        <v>1517</v>
      </c>
    </row>
    <row r="254" spans="1:10" ht="12.75" customHeight="1">
      <c r="A254" s="461" t="s">
        <v>2112</v>
      </c>
      <c r="B254" s="455">
        <f t="shared" ref="B254:I254" si="44">SUM(B252:B253)</f>
        <v>0</v>
      </c>
      <c r="C254" s="455">
        <f t="shared" si="44"/>
        <v>0</v>
      </c>
      <c r="D254" s="455">
        <f t="shared" si="44"/>
        <v>0</v>
      </c>
      <c r="E254" s="455">
        <f t="shared" si="44"/>
        <v>0</v>
      </c>
      <c r="F254" s="455">
        <f t="shared" si="44"/>
        <v>0</v>
      </c>
      <c r="G254" s="455">
        <f t="shared" si="44"/>
        <v>0</v>
      </c>
      <c r="H254" s="455">
        <f t="shared" si="44"/>
        <v>0</v>
      </c>
      <c r="I254" s="455">
        <f t="shared" si="44"/>
        <v>0</v>
      </c>
      <c r="J254" s="1188" t="s">
        <v>2113</v>
      </c>
    </row>
    <row r="256" spans="1:10" ht="12.75" customHeight="1">
      <c r="A256" s="101" t="s">
        <v>2114</v>
      </c>
      <c r="B256" s="566">
        <v>92</v>
      </c>
      <c r="C256" s="566">
        <v>0</v>
      </c>
      <c r="D256" s="566">
        <v>0</v>
      </c>
      <c r="E256" s="566">
        <v>0</v>
      </c>
      <c r="F256" s="455">
        <f>SUM(C256:E256)</f>
        <v>0</v>
      </c>
      <c r="G256" s="566">
        <v>0</v>
      </c>
      <c r="H256" s="564">
        <v>92</v>
      </c>
      <c r="I256" s="455">
        <f>SUM(G256:H256)</f>
        <v>92</v>
      </c>
      <c r="J256" s="1188" t="s">
        <v>2115</v>
      </c>
    </row>
    <row r="257" spans="1:10" ht="12.75" customHeight="1">
      <c r="A257" s="96" t="s">
        <v>2116</v>
      </c>
      <c r="B257" s="566">
        <v>153</v>
      </c>
      <c r="C257" s="566">
        <v>0</v>
      </c>
      <c r="D257" s="566">
        <v>0</v>
      </c>
      <c r="E257" s="566">
        <v>0</v>
      </c>
      <c r="F257" s="455">
        <f>SUM(C257:E257)</f>
        <v>0</v>
      </c>
      <c r="G257" s="564">
        <v>3</v>
      </c>
      <c r="H257" s="564">
        <v>150</v>
      </c>
      <c r="I257" s="455">
        <f>SUM(G257:H257)</f>
        <v>153</v>
      </c>
      <c r="J257" s="1188" t="s">
        <v>2117</v>
      </c>
    </row>
    <row r="258" spans="1:10" ht="12.75" customHeight="1">
      <c r="A258" s="96" t="s">
        <v>28</v>
      </c>
      <c r="B258" s="566"/>
      <c r="C258" s="566"/>
      <c r="D258" s="566"/>
      <c r="E258" s="566"/>
      <c r="F258" s="455">
        <f>SUM(C258:E258)</f>
        <v>0</v>
      </c>
      <c r="G258" s="564"/>
      <c r="H258" s="564"/>
      <c r="I258" s="455">
        <f>SUM(G258:H258)</f>
        <v>0</v>
      </c>
      <c r="J258" s="1188" t="s">
        <v>1792</v>
      </c>
    </row>
    <row r="259" spans="1:10" ht="12.75" customHeight="1">
      <c r="A259" s="458" t="s">
        <v>2118</v>
      </c>
      <c r="B259" s="455">
        <f t="shared" ref="B259:I259" si="45">SUM(B256:B258)</f>
        <v>245</v>
      </c>
      <c r="C259" s="455">
        <f t="shared" si="45"/>
        <v>0</v>
      </c>
      <c r="D259" s="455">
        <f t="shared" si="45"/>
        <v>0</v>
      </c>
      <c r="E259" s="455">
        <f t="shared" si="45"/>
        <v>0</v>
      </c>
      <c r="F259" s="455">
        <f t="shared" si="45"/>
        <v>0</v>
      </c>
      <c r="G259" s="455">
        <f t="shared" si="45"/>
        <v>3</v>
      </c>
      <c r="H259" s="455">
        <f t="shared" si="45"/>
        <v>242</v>
      </c>
      <c r="I259" s="455">
        <f t="shared" si="45"/>
        <v>245</v>
      </c>
      <c r="J259" s="1188" t="s">
        <v>2119</v>
      </c>
    </row>
    <row r="261" spans="1:10" ht="12.75" customHeight="1">
      <c r="A261" s="96" t="s">
        <v>2120</v>
      </c>
      <c r="B261" s="566"/>
      <c r="C261" s="566"/>
      <c r="D261" s="566"/>
      <c r="E261" s="566"/>
      <c r="F261" s="455">
        <f>SUM(C261:E261)</f>
        <v>0</v>
      </c>
      <c r="G261" s="564"/>
      <c r="H261" s="564"/>
      <c r="I261" s="455">
        <f>SUM(G261:H261)</f>
        <v>0</v>
      </c>
      <c r="J261" s="1188" t="s">
        <v>2121</v>
      </c>
    </row>
    <row r="262" spans="1:10" ht="12.75" customHeight="1">
      <c r="A262" s="96" t="s">
        <v>2122</v>
      </c>
      <c r="B262" s="566"/>
      <c r="C262" s="566"/>
      <c r="D262" s="566"/>
      <c r="E262" s="566"/>
      <c r="F262" s="455">
        <f>SUM(C262:E262)</f>
        <v>0</v>
      </c>
      <c r="G262" s="564"/>
      <c r="H262" s="564"/>
      <c r="I262" s="455">
        <f>SUM(G262:H262)</f>
        <v>0</v>
      </c>
      <c r="J262" s="1188" t="s">
        <v>2123</v>
      </c>
    </row>
    <row r="263" spans="1:10" ht="12.75" customHeight="1">
      <c r="A263" s="96" t="s">
        <v>2044</v>
      </c>
      <c r="B263" s="566"/>
      <c r="C263" s="566"/>
      <c r="D263" s="566"/>
      <c r="E263" s="566"/>
      <c r="F263" s="455">
        <f>SUM(C263:E263)</f>
        <v>0</v>
      </c>
      <c r="G263" s="564"/>
      <c r="H263" s="564"/>
      <c r="I263" s="455">
        <f>SUM(G263:H263)</f>
        <v>0</v>
      </c>
      <c r="J263" s="1188" t="s">
        <v>1793</v>
      </c>
    </row>
    <row r="264" spans="1:10" ht="12.75" customHeight="1">
      <c r="A264" s="458" t="s">
        <v>2124</v>
      </c>
      <c r="B264" s="455">
        <f t="shared" ref="B264:I264" si="46">SUM(B261:B263)</f>
        <v>0</v>
      </c>
      <c r="C264" s="455">
        <f t="shared" si="46"/>
        <v>0</v>
      </c>
      <c r="D264" s="455">
        <f t="shared" si="46"/>
        <v>0</v>
      </c>
      <c r="E264" s="455">
        <f t="shared" si="46"/>
        <v>0</v>
      </c>
      <c r="F264" s="455">
        <f t="shared" si="46"/>
        <v>0</v>
      </c>
      <c r="G264" s="455">
        <f t="shared" si="46"/>
        <v>0</v>
      </c>
      <c r="H264" s="455">
        <f t="shared" si="46"/>
        <v>0</v>
      </c>
      <c r="I264" s="455">
        <f t="shared" si="46"/>
        <v>0</v>
      </c>
      <c r="J264" s="1188" t="s">
        <v>2125</v>
      </c>
    </row>
    <row r="266" spans="1:10" ht="12.75" customHeight="1">
      <c r="A266" s="458" t="s">
        <v>1574</v>
      </c>
      <c r="B266" s="455">
        <f t="shared" ref="B266:I266" si="47">B211+B216+B221+B227+B231+B235+B241+B244+B250+B254+B259+B264</f>
        <v>295</v>
      </c>
      <c r="C266" s="455">
        <f t="shared" si="47"/>
        <v>0</v>
      </c>
      <c r="D266" s="455">
        <f t="shared" si="47"/>
        <v>0</v>
      </c>
      <c r="E266" s="455">
        <f t="shared" si="47"/>
        <v>0</v>
      </c>
      <c r="F266" s="455">
        <f t="shared" si="47"/>
        <v>0</v>
      </c>
      <c r="G266" s="455">
        <f t="shared" si="47"/>
        <v>4</v>
      </c>
      <c r="H266" s="455">
        <f t="shared" si="47"/>
        <v>291</v>
      </c>
      <c r="I266" s="455">
        <f t="shared" si="47"/>
        <v>295</v>
      </c>
      <c r="J266" s="1188" t="s">
        <v>2126</v>
      </c>
    </row>
    <row r="268" spans="1:10" ht="12.75" customHeight="1">
      <c r="A268" s="102" t="s">
        <v>2127</v>
      </c>
    </row>
    <row r="269" spans="1:10" ht="12.75" customHeight="1">
      <c r="A269" s="96" t="s">
        <v>1631</v>
      </c>
      <c r="B269" s="566"/>
      <c r="C269" s="566"/>
      <c r="D269" s="566"/>
      <c r="E269" s="566"/>
      <c r="F269" s="455">
        <f>SUM(C269:E269)</f>
        <v>0</v>
      </c>
      <c r="G269" s="564"/>
      <c r="H269" s="564"/>
      <c r="I269" s="455">
        <f>SUM(G269:H269)</f>
        <v>0</v>
      </c>
      <c r="J269" s="1188" t="s">
        <v>1632</v>
      </c>
    </row>
    <row r="270" spans="1:10" ht="12.75" customHeight="1">
      <c r="A270" s="97" t="s">
        <v>1633</v>
      </c>
      <c r="B270" s="1019"/>
      <c r="C270" s="1019"/>
      <c r="D270" s="1019"/>
      <c r="E270" s="1019"/>
      <c r="F270" s="455">
        <f>SUM(C270:E270)</f>
        <v>0</v>
      </c>
      <c r="G270" s="567"/>
      <c r="H270" s="564"/>
      <c r="I270" s="455">
        <f>SUM(G270:H270)</f>
        <v>0</v>
      </c>
      <c r="J270" s="1188" t="s">
        <v>1634</v>
      </c>
    </row>
    <row r="271" spans="1:10" ht="12.75" customHeight="1">
      <c r="A271" s="96" t="s">
        <v>1635</v>
      </c>
      <c r="B271" s="566"/>
      <c r="C271" s="566"/>
      <c r="D271" s="566"/>
      <c r="E271" s="566"/>
      <c r="F271" s="455">
        <f>SUM(C271:E271)</f>
        <v>0</v>
      </c>
      <c r="G271" s="564"/>
      <c r="H271" s="564"/>
      <c r="I271" s="455">
        <f>SUM(G271:H271)</f>
        <v>0</v>
      </c>
      <c r="J271" s="1188" t="s">
        <v>1636</v>
      </c>
    </row>
    <row r="272" spans="1:10" ht="12.75" customHeight="1">
      <c r="A272" s="96" t="s">
        <v>1637</v>
      </c>
      <c r="B272" s="566"/>
      <c r="C272" s="566"/>
      <c r="D272" s="566"/>
      <c r="E272" s="566"/>
      <c r="F272" s="455">
        <f>SUM(C272:E272)</f>
        <v>0</v>
      </c>
      <c r="G272" s="564"/>
      <c r="H272" s="564"/>
      <c r="I272" s="455">
        <f>SUM(G272:H272)</f>
        <v>0</v>
      </c>
      <c r="J272" s="1188" t="s">
        <v>1638</v>
      </c>
    </row>
    <row r="273" spans="1:10" ht="12.75" customHeight="1">
      <c r="A273" s="459" t="s">
        <v>1639</v>
      </c>
      <c r="B273" s="455">
        <f t="shared" ref="B273:I273" si="48">SUM(B269:B272)</f>
        <v>0</v>
      </c>
      <c r="C273" s="455">
        <f t="shared" si="48"/>
        <v>0</v>
      </c>
      <c r="D273" s="455">
        <f t="shared" si="48"/>
        <v>0</v>
      </c>
      <c r="E273" s="455">
        <f t="shared" si="48"/>
        <v>0</v>
      </c>
      <c r="F273" s="455">
        <f t="shared" si="48"/>
        <v>0</v>
      </c>
      <c r="G273" s="455">
        <f t="shared" si="48"/>
        <v>0</v>
      </c>
      <c r="H273" s="455">
        <f t="shared" si="48"/>
        <v>0</v>
      </c>
      <c r="I273" s="455">
        <f t="shared" si="48"/>
        <v>0</v>
      </c>
      <c r="J273" s="1188" t="s">
        <v>1640</v>
      </c>
    </row>
    <row r="275" spans="1:10" ht="12.75" customHeight="1">
      <c r="A275" s="99" t="s">
        <v>1641</v>
      </c>
      <c r="B275" s="566"/>
      <c r="C275" s="566"/>
      <c r="D275" s="566"/>
      <c r="E275" s="566"/>
      <c r="F275" s="455">
        <f>SUM(C275:E275)</f>
        <v>0</v>
      </c>
      <c r="G275" s="564"/>
      <c r="H275" s="564"/>
      <c r="I275" s="455">
        <f>SUM(G275:H275)</f>
        <v>0</v>
      </c>
      <c r="J275" s="1188" t="s">
        <v>1642</v>
      </c>
    </row>
    <row r="276" spans="1:10" ht="12.75" customHeight="1">
      <c r="A276" s="103" t="s">
        <v>1643</v>
      </c>
      <c r="B276" s="1019"/>
      <c r="C276" s="1019"/>
      <c r="D276" s="1019"/>
      <c r="E276" s="1019"/>
      <c r="F276" s="455">
        <f>SUM(C276:E276)</f>
        <v>0</v>
      </c>
      <c r="G276" s="567"/>
      <c r="H276" s="564"/>
      <c r="I276" s="455">
        <f>SUM(G276:H276)</f>
        <v>0</v>
      </c>
      <c r="J276" s="1188" t="s">
        <v>1644</v>
      </c>
    </row>
    <row r="277" spans="1:10" ht="12.75" customHeight="1">
      <c r="A277" s="96" t="s">
        <v>1645</v>
      </c>
      <c r="B277" s="566"/>
      <c r="C277" s="566"/>
      <c r="D277" s="566"/>
      <c r="E277" s="566"/>
      <c r="F277" s="455">
        <f>SUM(C277:E277)</f>
        <v>0</v>
      </c>
      <c r="G277" s="564"/>
      <c r="H277" s="564"/>
      <c r="I277" s="455">
        <f>SUM(G277:H277)</f>
        <v>0</v>
      </c>
      <c r="J277" s="1188" t="s">
        <v>1646</v>
      </c>
    </row>
    <row r="278" spans="1:10" ht="12.75" customHeight="1">
      <c r="A278" s="459" t="s">
        <v>1647</v>
      </c>
      <c r="B278" s="455">
        <f t="shared" ref="B278:I278" si="49">SUM(B275:B277)</f>
        <v>0</v>
      </c>
      <c r="C278" s="455">
        <f t="shared" si="49"/>
        <v>0</v>
      </c>
      <c r="D278" s="455">
        <f t="shared" si="49"/>
        <v>0</v>
      </c>
      <c r="E278" s="455">
        <f t="shared" si="49"/>
        <v>0</v>
      </c>
      <c r="F278" s="455">
        <f t="shared" si="49"/>
        <v>0</v>
      </c>
      <c r="G278" s="455">
        <f t="shared" si="49"/>
        <v>0</v>
      </c>
      <c r="H278" s="455">
        <f t="shared" si="49"/>
        <v>0</v>
      </c>
      <c r="I278" s="455">
        <f t="shared" si="49"/>
        <v>0</v>
      </c>
      <c r="J278" s="1188" t="s">
        <v>1648</v>
      </c>
    </row>
    <row r="280" spans="1:10" ht="12.75" customHeight="1">
      <c r="A280" s="458" t="s">
        <v>2127</v>
      </c>
      <c r="B280" s="455">
        <f t="shared" ref="B280:I280" si="50">B273+B278</f>
        <v>0</v>
      </c>
      <c r="C280" s="455">
        <f t="shared" si="50"/>
        <v>0</v>
      </c>
      <c r="D280" s="455">
        <f t="shared" si="50"/>
        <v>0</v>
      </c>
      <c r="E280" s="455">
        <f t="shared" si="50"/>
        <v>0</v>
      </c>
      <c r="F280" s="455">
        <f t="shared" si="50"/>
        <v>0</v>
      </c>
      <c r="G280" s="455">
        <f t="shared" si="50"/>
        <v>0</v>
      </c>
      <c r="H280" s="455">
        <f t="shared" si="50"/>
        <v>0</v>
      </c>
      <c r="I280" s="455">
        <f t="shared" si="50"/>
        <v>0</v>
      </c>
      <c r="J280" s="1188" t="s">
        <v>1649</v>
      </c>
    </row>
    <row r="282" spans="1:10" ht="12.75" customHeight="1">
      <c r="A282" s="93" t="s">
        <v>1650</v>
      </c>
    </row>
    <row r="283" spans="1:10" ht="12.75" customHeight="1">
      <c r="A283" s="105" t="s">
        <v>1651</v>
      </c>
      <c r="B283" s="566">
        <v>1</v>
      </c>
      <c r="C283" s="566">
        <v>0</v>
      </c>
      <c r="D283" s="566">
        <v>0</v>
      </c>
      <c r="E283" s="566">
        <v>0</v>
      </c>
      <c r="F283" s="455">
        <f>SUM(C283:E283)</f>
        <v>0</v>
      </c>
      <c r="G283" s="566">
        <v>1</v>
      </c>
      <c r="H283" s="564">
        <v>0</v>
      </c>
      <c r="I283" s="455">
        <f>SUM(G283:H283)</f>
        <v>1</v>
      </c>
      <c r="J283" s="1188" t="s">
        <v>1652</v>
      </c>
    </row>
    <row r="284" spans="1:10" ht="12.75" customHeight="1">
      <c r="A284" s="105" t="s">
        <v>1653</v>
      </c>
      <c r="B284" s="566">
        <v>3</v>
      </c>
      <c r="C284" s="566">
        <v>0</v>
      </c>
      <c r="D284" s="566">
        <v>0</v>
      </c>
      <c r="E284" s="566">
        <v>0</v>
      </c>
      <c r="F284" s="455">
        <f>SUM(C284:E284)</f>
        <v>0</v>
      </c>
      <c r="G284" s="566">
        <v>2</v>
      </c>
      <c r="H284" s="564">
        <v>1</v>
      </c>
      <c r="I284" s="455">
        <f>SUM(G284:H284)</f>
        <v>3</v>
      </c>
      <c r="J284" s="1188" t="s">
        <v>1654</v>
      </c>
    </row>
    <row r="285" spans="1:10" ht="12.75" customHeight="1">
      <c r="A285" s="105" t="s">
        <v>1655</v>
      </c>
      <c r="B285" s="566"/>
      <c r="C285" s="566"/>
      <c r="D285" s="566"/>
      <c r="E285" s="566"/>
      <c r="F285" s="455">
        <f>SUM(C285:E285)</f>
        <v>0</v>
      </c>
      <c r="G285" s="566"/>
      <c r="H285" s="564"/>
      <c r="I285" s="455">
        <f>SUM(G285:H285)</f>
        <v>0</v>
      </c>
      <c r="J285" s="1188" t="s">
        <v>1656</v>
      </c>
    </row>
    <row r="286" spans="1:10" ht="12.75" customHeight="1">
      <c r="A286" s="459" t="s">
        <v>1657</v>
      </c>
      <c r="B286" s="455">
        <f t="shared" ref="B286:I286" si="51">SUM(B283:B285)</f>
        <v>4</v>
      </c>
      <c r="C286" s="455">
        <f t="shared" si="51"/>
        <v>0</v>
      </c>
      <c r="D286" s="455">
        <f t="shared" si="51"/>
        <v>0</v>
      </c>
      <c r="E286" s="455">
        <f t="shared" si="51"/>
        <v>0</v>
      </c>
      <c r="F286" s="455">
        <f t="shared" si="51"/>
        <v>0</v>
      </c>
      <c r="G286" s="455">
        <f t="shared" si="51"/>
        <v>3</v>
      </c>
      <c r="H286" s="455">
        <f t="shared" si="51"/>
        <v>1</v>
      </c>
      <c r="I286" s="455">
        <f t="shared" si="51"/>
        <v>4</v>
      </c>
      <c r="J286" s="1188" t="s">
        <v>1658</v>
      </c>
    </row>
    <row r="288" spans="1:10" ht="12.75" customHeight="1">
      <c r="A288" s="105" t="s">
        <v>1659</v>
      </c>
      <c r="B288" s="566">
        <v>13</v>
      </c>
      <c r="C288" s="566">
        <v>0</v>
      </c>
      <c r="D288" s="566">
        <v>0</v>
      </c>
      <c r="E288" s="566">
        <v>0</v>
      </c>
      <c r="F288" s="455">
        <f>SUM(C288:E288)</f>
        <v>0</v>
      </c>
      <c r="G288" s="566">
        <v>13</v>
      </c>
      <c r="H288" s="564">
        <v>0</v>
      </c>
      <c r="I288" s="455">
        <f>SUM(G288:H288)</f>
        <v>13</v>
      </c>
      <c r="J288" s="1188" t="s">
        <v>1660</v>
      </c>
    </row>
    <row r="289" spans="1:10" ht="12.75" customHeight="1">
      <c r="A289" s="105" t="s">
        <v>1661</v>
      </c>
      <c r="B289" s="566">
        <v>12</v>
      </c>
      <c r="C289" s="566">
        <v>0</v>
      </c>
      <c r="D289" s="566">
        <v>0</v>
      </c>
      <c r="E289" s="566">
        <v>0</v>
      </c>
      <c r="F289" s="455">
        <f>SUM(C289:E289)</f>
        <v>0</v>
      </c>
      <c r="G289" s="566">
        <v>12</v>
      </c>
      <c r="H289" s="564">
        <v>0</v>
      </c>
      <c r="I289" s="455">
        <f>SUM(G289:H289)</f>
        <v>12</v>
      </c>
      <c r="J289" s="1188" t="s">
        <v>1662</v>
      </c>
    </row>
    <row r="290" spans="1:10" ht="12.75" customHeight="1">
      <c r="A290" s="105" t="s">
        <v>1663</v>
      </c>
      <c r="B290" s="566">
        <v>25</v>
      </c>
      <c r="C290" s="566">
        <v>0</v>
      </c>
      <c r="D290" s="566">
        <v>0</v>
      </c>
      <c r="E290" s="566">
        <v>0</v>
      </c>
      <c r="F290" s="455">
        <f>SUM(C290:E290)</f>
        <v>0</v>
      </c>
      <c r="G290" s="566">
        <v>19</v>
      </c>
      <c r="H290" s="564">
        <v>6</v>
      </c>
      <c r="I290" s="455">
        <f>SUM(G290:H290)</f>
        <v>25</v>
      </c>
      <c r="J290" s="1188" t="s">
        <v>1664</v>
      </c>
    </row>
    <row r="291" spans="1:10" ht="12.75" customHeight="1">
      <c r="A291" s="101" t="s">
        <v>1665</v>
      </c>
      <c r="B291" s="566"/>
      <c r="C291" s="566"/>
      <c r="D291" s="566"/>
      <c r="E291" s="566"/>
      <c r="F291" s="455">
        <f>SUM(C291:E291)</f>
        <v>0</v>
      </c>
      <c r="G291" s="566"/>
      <c r="H291" s="564"/>
      <c r="I291" s="455">
        <f>SUM(G291:H291)</f>
        <v>0</v>
      </c>
      <c r="J291" s="1188" t="s">
        <v>1666</v>
      </c>
    </row>
    <row r="292" spans="1:10" ht="12.75" customHeight="1">
      <c r="A292" s="459" t="s">
        <v>301</v>
      </c>
      <c r="B292" s="455">
        <f t="shared" ref="B292:I292" si="52">SUM(B288:B291)</f>
        <v>50</v>
      </c>
      <c r="C292" s="455">
        <f t="shared" si="52"/>
        <v>0</v>
      </c>
      <c r="D292" s="455">
        <f t="shared" si="52"/>
        <v>0</v>
      </c>
      <c r="E292" s="455">
        <f t="shared" si="52"/>
        <v>0</v>
      </c>
      <c r="F292" s="455">
        <f t="shared" si="52"/>
        <v>0</v>
      </c>
      <c r="G292" s="455">
        <f t="shared" si="52"/>
        <v>44</v>
      </c>
      <c r="H292" s="455">
        <f t="shared" si="52"/>
        <v>6</v>
      </c>
      <c r="I292" s="455">
        <f t="shared" si="52"/>
        <v>50</v>
      </c>
      <c r="J292" s="1188" t="s">
        <v>302</v>
      </c>
    </row>
    <row r="294" spans="1:10" ht="12.75" customHeight="1">
      <c r="A294" s="96" t="s">
        <v>303</v>
      </c>
      <c r="B294" s="566">
        <v>1</v>
      </c>
      <c r="C294" s="566">
        <v>0</v>
      </c>
      <c r="D294" s="566">
        <v>0</v>
      </c>
      <c r="E294" s="566">
        <v>0</v>
      </c>
      <c r="F294" s="455">
        <f>SUM(C294:E294)</f>
        <v>0</v>
      </c>
      <c r="G294" s="566">
        <v>0</v>
      </c>
      <c r="H294" s="564">
        <v>1</v>
      </c>
      <c r="I294" s="455">
        <f>SUM(G294:H294)</f>
        <v>1</v>
      </c>
      <c r="J294" s="1188" t="s">
        <v>304</v>
      </c>
    </row>
    <row r="295" spans="1:10" ht="12.75" customHeight="1">
      <c r="A295" s="96" t="s">
        <v>305</v>
      </c>
      <c r="B295" s="566">
        <v>184</v>
      </c>
      <c r="C295" s="566">
        <v>0</v>
      </c>
      <c r="D295" s="566">
        <v>0</v>
      </c>
      <c r="E295" s="566">
        <v>0</v>
      </c>
      <c r="F295" s="455">
        <f>SUM(C295:E295)</f>
        <v>0</v>
      </c>
      <c r="G295" s="566">
        <v>132</v>
      </c>
      <c r="H295" s="564">
        <v>52</v>
      </c>
      <c r="I295" s="455">
        <f>SUM(G295:H295)</f>
        <v>184</v>
      </c>
      <c r="J295" s="1188" t="s">
        <v>306</v>
      </c>
    </row>
    <row r="296" spans="1:10" ht="12.75" customHeight="1">
      <c r="A296" s="97" t="s">
        <v>2045</v>
      </c>
      <c r="B296" s="566">
        <v>190</v>
      </c>
      <c r="C296" s="566">
        <v>0</v>
      </c>
      <c r="D296" s="566">
        <v>0</v>
      </c>
      <c r="E296" s="566">
        <v>0</v>
      </c>
      <c r="F296" s="455">
        <f>SUM(C296:E296)</f>
        <v>0</v>
      </c>
      <c r="G296" s="566">
        <v>137</v>
      </c>
      <c r="H296" s="564">
        <v>53</v>
      </c>
      <c r="I296" s="455">
        <f>SUM(G296:H296)</f>
        <v>190</v>
      </c>
      <c r="J296" s="1188" t="s">
        <v>1794</v>
      </c>
    </row>
    <row r="297" spans="1:10" ht="12.75" customHeight="1">
      <c r="A297" s="96" t="s">
        <v>1624</v>
      </c>
      <c r="B297" s="566"/>
      <c r="C297" s="566"/>
      <c r="D297" s="566"/>
      <c r="E297" s="566"/>
      <c r="F297" s="455">
        <f>SUM(C297:E297)</f>
        <v>0</v>
      </c>
      <c r="G297" s="566"/>
      <c r="H297" s="564"/>
      <c r="I297" s="455">
        <f>SUM(G297:H297)</f>
        <v>0</v>
      </c>
      <c r="J297" s="1188" t="s">
        <v>307</v>
      </c>
    </row>
    <row r="298" spans="1:10" ht="12.75" customHeight="1">
      <c r="A298" s="458" t="s">
        <v>308</v>
      </c>
      <c r="B298" s="455">
        <f t="shared" ref="B298:I298" si="53">SUM(B294:B297)</f>
        <v>375</v>
      </c>
      <c r="C298" s="455">
        <f t="shared" si="53"/>
        <v>0</v>
      </c>
      <c r="D298" s="455">
        <f t="shared" si="53"/>
        <v>0</v>
      </c>
      <c r="E298" s="455">
        <f t="shared" si="53"/>
        <v>0</v>
      </c>
      <c r="F298" s="455">
        <f t="shared" si="53"/>
        <v>0</v>
      </c>
      <c r="G298" s="455">
        <f t="shared" si="53"/>
        <v>269</v>
      </c>
      <c r="H298" s="455">
        <f t="shared" si="53"/>
        <v>106</v>
      </c>
      <c r="I298" s="455">
        <f t="shared" si="53"/>
        <v>375</v>
      </c>
      <c r="J298" s="1188" t="s">
        <v>309</v>
      </c>
    </row>
    <row r="300" spans="1:10" ht="12.75" customHeight="1">
      <c r="A300" s="96" t="s">
        <v>310</v>
      </c>
      <c r="B300" s="566"/>
      <c r="C300" s="566"/>
      <c r="D300" s="566"/>
      <c r="E300" s="566"/>
      <c r="F300" s="455">
        <f>SUM(C300:E300)</f>
        <v>0</v>
      </c>
      <c r="G300" s="566"/>
      <c r="H300" s="564"/>
      <c r="I300" s="455">
        <f>SUM(G300:H300)</f>
        <v>0</v>
      </c>
      <c r="J300" s="1188" t="s">
        <v>311</v>
      </c>
    </row>
    <row r="301" spans="1:10" ht="12.75" customHeight="1">
      <c r="A301" s="96" t="s">
        <v>312</v>
      </c>
      <c r="B301" s="566"/>
      <c r="C301" s="566"/>
      <c r="D301" s="566"/>
      <c r="E301" s="566"/>
      <c r="F301" s="455">
        <f>SUM(C301:E301)</f>
        <v>0</v>
      </c>
      <c r="G301" s="566"/>
      <c r="H301" s="564"/>
      <c r="I301" s="455">
        <f>SUM(G301:H301)</f>
        <v>0</v>
      </c>
      <c r="J301" s="1188" t="s">
        <v>313</v>
      </c>
    </row>
    <row r="302" spans="1:10" ht="12.75" customHeight="1">
      <c r="A302" s="96" t="s">
        <v>1625</v>
      </c>
      <c r="B302" s="566"/>
      <c r="C302" s="566"/>
      <c r="D302" s="566"/>
      <c r="E302" s="566"/>
      <c r="F302" s="455">
        <f>SUM(C302:E302)</f>
        <v>0</v>
      </c>
      <c r="G302" s="566"/>
      <c r="H302" s="564"/>
      <c r="I302" s="455">
        <f>SUM(G302:H302)</f>
        <v>0</v>
      </c>
      <c r="J302" s="1188" t="s">
        <v>1795</v>
      </c>
    </row>
    <row r="303" spans="1:10" ht="12.75" customHeight="1">
      <c r="A303" s="458" t="s">
        <v>314</v>
      </c>
      <c r="B303" s="455">
        <f t="shared" ref="B303:I303" si="54">SUM(B300:B302)</f>
        <v>0</v>
      </c>
      <c r="C303" s="455">
        <f t="shared" si="54"/>
        <v>0</v>
      </c>
      <c r="D303" s="455">
        <f t="shared" si="54"/>
        <v>0</v>
      </c>
      <c r="E303" s="455">
        <f t="shared" si="54"/>
        <v>0</v>
      </c>
      <c r="F303" s="455">
        <f t="shared" si="54"/>
        <v>0</v>
      </c>
      <c r="G303" s="455">
        <f t="shared" si="54"/>
        <v>0</v>
      </c>
      <c r="H303" s="455">
        <f t="shared" si="54"/>
        <v>0</v>
      </c>
      <c r="I303" s="455">
        <f t="shared" si="54"/>
        <v>0</v>
      </c>
      <c r="J303" s="1188" t="s">
        <v>315</v>
      </c>
    </row>
    <row r="305" spans="1:10" ht="12.75" customHeight="1">
      <c r="A305" s="462" t="s">
        <v>1650</v>
      </c>
      <c r="B305" s="455">
        <f t="shared" ref="B305:I305" si="55">SUM(B286,B292,B298,B303)</f>
        <v>429</v>
      </c>
      <c r="C305" s="455">
        <f t="shared" si="55"/>
        <v>0</v>
      </c>
      <c r="D305" s="455">
        <f t="shared" si="55"/>
        <v>0</v>
      </c>
      <c r="E305" s="455">
        <f t="shared" si="55"/>
        <v>0</v>
      </c>
      <c r="F305" s="455">
        <f t="shared" si="55"/>
        <v>0</v>
      </c>
      <c r="G305" s="455">
        <f t="shared" si="55"/>
        <v>316</v>
      </c>
      <c r="H305" s="455">
        <f t="shared" si="55"/>
        <v>113</v>
      </c>
      <c r="I305" s="455">
        <f t="shared" si="55"/>
        <v>429</v>
      </c>
      <c r="J305" s="1188" t="s">
        <v>316</v>
      </c>
    </row>
    <row r="307" spans="1:10" ht="12.75" customHeight="1">
      <c r="A307" s="106" t="s">
        <v>317</v>
      </c>
    </row>
    <row r="308" spans="1:10" ht="12.75" customHeight="1">
      <c r="A308" s="96" t="s">
        <v>2210</v>
      </c>
      <c r="B308" s="566"/>
      <c r="C308" s="566"/>
      <c r="D308" s="566"/>
      <c r="E308" s="566"/>
      <c r="F308" s="455">
        <f>SUM(C308:E308)</f>
        <v>0</v>
      </c>
      <c r="G308" s="564"/>
      <c r="H308" s="564"/>
      <c r="I308" s="455">
        <f>SUM(G308:H308)</f>
        <v>0</v>
      </c>
      <c r="J308" s="1188" t="s">
        <v>1796</v>
      </c>
    </row>
    <row r="309" spans="1:10" ht="12.75" customHeight="1">
      <c r="A309" s="97" t="s">
        <v>1423</v>
      </c>
      <c r="B309" s="1019"/>
      <c r="C309" s="1019"/>
      <c r="D309" s="1019"/>
      <c r="E309" s="1019"/>
      <c r="F309" s="455">
        <f>SUM(C309:E309)</f>
        <v>0</v>
      </c>
      <c r="G309" s="567"/>
      <c r="H309" s="564"/>
      <c r="I309" s="455">
        <f>SUM(G309:H309)</f>
        <v>0</v>
      </c>
      <c r="J309" s="1188" t="s">
        <v>1797</v>
      </c>
    </row>
    <row r="310" spans="1:10" ht="12.75" customHeight="1">
      <c r="A310" s="97" t="s">
        <v>730</v>
      </c>
      <c r="B310" s="1019"/>
      <c r="C310" s="1019"/>
      <c r="D310" s="1019"/>
      <c r="E310" s="1019"/>
      <c r="F310" s="455">
        <f>SUM(C310:E310)</f>
        <v>0</v>
      </c>
      <c r="G310" s="567"/>
      <c r="H310" s="564"/>
      <c r="I310" s="455">
        <f>SUM(G310:H310)</f>
        <v>0</v>
      </c>
      <c r="J310" s="1188" t="s">
        <v>1798</v>
      </c>
    </row>
    <row r="311" spans="1:10" ht="12.75" customHeight="1">
      <c r="A311" s="97" t="s">
        <v>150</v>
      </c>
      <c r="B311" s="1019"/>
      <c r="C311" s="1019"/>
      <c r="D311" s="1019"/>
      <c r="E311" s="1019"/>
      <c r="F311" s="455">
        <f>SUM(C311:E311)</f>
        <v>0</v>
      </c>
      <c r="G311" s="567"/>
      <c r="H311" s="564"/>
      <c r="I311" s="455">
        <f>SUM(G311:H311)</f>
        <v>0</v>
      </c>
      <c r="J311" s="1188" t="s">
        <v>1799</v>
      </c>
    </row>
    <row r="312" spans="1:10" ht="12.75" customHeight="1">
      <c r="A312" s="459" t="s">
        <v>1424</v>
      </c>
      <c r="B312" s="455">
        <f t="shared" ref="B312:I312" si="56">SUM(B308:B311)</f>
        <v>0</v>
      </c>
      <c r="C312" s="455">
        <f t="shared" si="56"/>
        <v>0</v>
      </c>
      <c r="D312" s="455">
        <f t="shared" si="56"/>
        <v>0</v>
      </c>
      <c r="E312" s="455">
        <f t="shared" si="56"/>
        <v>0</v>
      </c>
      <c r="F312" s="455">
        <f t="shared" si="56"/>
        <v>0</v>
      </c>
      <c r="G312" s="455">
        <f t="shared" si="56"/>
        <v>0</v>
      </c>
      <c r="H312" s="455">
        <f t="shared" si="56"/>
        <v>0</v>
      </c>
      <c r="I312" s="455">
        <f t="shared" si="56"/>
        <v>0</v>
      </c>
      <c r="J312" s="1188" t="s">
        <v>1800</v>
      </c>
    </row>
    <row r="314" spans="1:10" ht="12.75" customHeight="1">
      <c r="A314" s="96" t="s">
        <v>2214</v>
      </c>
      <c r="B314" s="566"/>
      <c r="C314" s="566"/>
      <c r="D314" s="566"/>
      <c r="E314" s="566"/>
      <c r="F314" s="455">
        <f>SUM(C314:E314)</f>
        <v>0</v>
      </c>
      <c r="G314" s="564"/>
      <c r="H314" s="564"/>
      <c r="I314" s="455">
        <f>SUM(G314:H314)</f>
        <v>0</v>
      </c>
      <c r="J314" s="1188" t="s">
        <v>2215</v>
      </c>
    </row>
    <row r="315" spans="1:10" ht="12.75" customHeight="1">
      <c r="A315" s="97" t="s">
        <v>2216</v>
      </c>
      <c r="B315" s="1019"/>
      <c r="C315" s="1019"/>
      <c r="D315" s="1019"/>
      <c r="E315" s="1019"/>
      <c r="F315" s="455">
        <f>SUM(C315:E315)</f>
        <v>0</v>
      </c>
      <c r="G315" s="567"/>
      <c r="H315" s="564"/>
      <c r="I315" s="455">
        <f>SUM(G315:H315)</f>
        <v>0</v>
      </c>
      <c r="J315" s="1188" t="s">
        <v>2217</v>
      </c>
    </row>
    <row r="316" spans="1:10" ht="12.75" customHeight="1">
      <c r="A316" s="97" t="s">
        <v>2218</v>
      </c>
      <c r="B316" s="1019"/>
      <c r="C316" s="1019"/>
      <c r="D316" s="1019"/>
      <c r="E316" s="1019"/>
      <c r="F316" s="455">
        <f>SUM(C316:E316)</f>
        <v>0</v>
      </c>
      <c r="G316" s="567"/>
      <c r="H316" s="564"/>
      <c r="I316" s="455">
        <f>SUM(G316:H316)</f>
        <v>0</v>
      </c>
      <c r="J316" s="1188" t="s">
        <v>2219</v>
      </c>
    </row>
    <row r="317" spans="1:10" ht="12.75" customHeight="1">
      <c r="A317" s="97" t="s">
        <v>1101</v>
      </c>
      <c r="B317" s="1019"/>
      <c r="C317" s="1019"/>
      <c r="D317" s="1019"/>
      <c r="E317" s="1019"/>
      <c r="F317" s="455">
        <f>SUM(C317:E317)</f>
        <v>0</v>
      </c>
      <c r="G317" s="567"/>
      <c r="H317" s="564"/>
      <c r="I317" s="455">
        <f>SUM(G317:H317)</f>
        <v>0</v>
      </c>
      <c r="J317" s="1188" t="s">
        <v>1801</v>
      </c>
    </row>
    <row r="318" spans="1:10" ht="12.75" customHeight="1">
      <c r="A318" s="459" t="s">
        <v>1432</v>
      </c>
      <c r="B318" s="455">
        <f>SUM(B314:B317)</f>
        <v>0</v>
      </c>
      <c r="C318" s="455">
        <f t="shared" ref="C318:I318" si="57">SUM(C314:C317)</f>
        <v>0</v>
      </c>
      <c r="D318" s="455">
        <f t="shared" si="57"/>
        <v>0</v>
      </c>
      <c r="E318" s="455">
        <f t="shared" si="57"/>
        <v>0</v>
      </c>
      <c r="F318" s="455">
        <f t="shared" si="57"/>
        <v>0</v>
      </c>
      <c r="G318" s="455">
        <f t="shared" si="57"/>
        <v>0</v>
      </c>
      <c r="H318" s="455">
        <f t="shared" si="57"/>
        <v>0</v>
      </c>
      <c r="I318" s="455">
        <f t="shared" si="57"/>
        <v>0</v>
      </c>
      <c r="J318" s="1188" t="s">
        <v>2220</v>
      </c>
    </row>
    <row r="320" spans="1:10" ht="12.75" customHeight="1">
      <c r="A320" s="105" t="s">
        <v>2221</v>
      </c>
      <c r="B320" s="566"/>
      <c r="C320" s="566"/>
      <c r="D320" s="566"/>
      <c r="E320" s="566"/>
      <c r="F320" s="455">
        <f>SUM(C320:E320)</f>
        <v>0</v>
      </c>
      <c r="G320" s="566"/>
      <c r="H320" s="564"/>
      <c r="I320" s="455">
        <f>SUM(G320:H320)</f>
        <v>0</v>
      </c>
      <c r="J320" s="1188" t="s">
        <v>2222</v>
      </c>
    </row>
    <row r="321" spans="1:10" ht="12.75" customHeight="1">
      <c r="A321" s="101" t="s">
        <v>2223</v>
      </c>
      <c r="B321" s="566"/>
      <c r="C321" s="566"/>
      <c r="D321" s="566"/>
      <c r="E321" s="566"/>
      <c r="F321" s="455">
        <f>SUM(C321:E321)</f>
        <v>0</v>
      </c>
      <c r="G321" s="566"/>
      <c r="H321" s="564"/>
      <c r="I321" s="455">
        <f>SUM(G321:H321)</f>
        <v>0</v>
      </c>
      <c r="J321" s="1188" t="s">
        <v>2224</v>
      </c>
    </row>
    <row r="322" spans="1:10" ht="12.75" customHeight="1">
      <c r="A322" s="107" t="s">
        <v>1102</v>
      </c>
      <c r="B322" s="1019"/>
      <c r="C322" s="1019"/>
      <c r="D322" s="1019"/>
      <c r="E322" s="1019"/>
      <c r="F322" s="455">
        <f>SUM(C322:E322)</f>
        <v>0</v>
      </c>
      <c r="G322" s="1019"/>
      <c r="H322" s="564"/>
      <c r="I322" s="455">
        <f>SUM(G322:H322)</f>
        <v>0</v>
      </c>
      <c r="J322" s="1188" t="s">
        <v>2225</v>
      </c>
    </row>
    <row r="323" spans="1:10" ht="12.75" customHeight="1">
      <c r="A323" s="101" t="s">
        <v>1839</v>
      </c>
      <c r="B323" s="566"/>
      <c r="C323" s="566"/>
      <c r="D323" s="566"/>
      <c r="E323" s="566"/>
      <c r="F323" s="455">
        <f>SUM(C323:E323)</f>
        <v>0</v>
      </c>
      <c r="G323" s="566"/>
      <c r="H323" s="564"/>
      <c r="I323" s="455">
        <f>SUM(G323:H323)</f>
        <v>0</v>
      </c>
      <c r="J323" s="1188" t="s">
        <v>1802</v>
      </c>
    </row>
    <row r="324" spans="1:10" ht="12.75" customHeight="1">
      <c r="A324" s="463" t="s">
        <v>2226</v>
      </c>
      <c r="B324" s="455">
        <f t="shared" ref="B324:I324" si="58">SUM(B320:B323)</f>
        <v>0</v>
      </c>
      <c r="C324" s="455">
        <f t="shared" si="58"/>
        <v>0</v>
      </c>
      <c r="D324" s="455">
        <f t="shared" si="58"/>
        <v>0</v>
      </c>
      <c r="E324" s="455">
        <f t="shared" si="58"/>
        <v>0</v>
      </c>
      <c r="F324" s="455">
        <f t="shared" si="58"/>
        <v>0</v>
      </c>
      <c r="G324" s="455">
        <f t="shared" si="58"/>
        <v>0</v>
      </c>
      <c r="H324" s="455">
        <f t="shared" si="58"/>
        <v>0</v>
      </c>
      <c r="I324" s="455">
        <f t="shared" si="58"/>
        <v>0</v>
      </c>
      <c r="J324" s="1188" t="s">
        <v>2227</v>
      </c>
    </row>
    <row r="326" spans="1:10" ht="12.75" customHeight="1">
      <c r="A326" s="421" t="s">
        <v>1054</v>
      </c>
      <c r="B326" s="564"/>
      <c r="C326" s="564"/>
      <c r="D326" s="564"/>
      <c r="E326" s="564"/>
      <c r="F326" s="455">
        <f>SUM(C326:E326)</f>
        <v>0</v>
      </c>
      <c r="G326" s="564"/>
      <c r="H326" s="564"/>
      <c r="I326" s="455">
        <f>SUM(G326:H326)</f>
        <v>0</v>
      </c>
      <c r="J326" s="1188" t="s">
        <v>1055</v>
      </c>
    </row>
    <row r="327" spans="1:10" ht="12.75" customHeight="1">
      <c r="A327" s="421" t="s">
        <v>1056</v>
      </c>
      <c r="B327" s="564"/>
      <c r="C327" s="564"/>
      <c r="D327" s="564"/>
      <c r="E327" s="564"/>
      <c r="F327" s="455">
        <f>SUM(C327:E327)</f>
        <v>0</v>
      </c>
      <c r="G327" s="564"/>
      <c r="H327" s="564"/>
      <c r="I327" s="455">
        <f>SUM(G327:H327)</f>
        <v>0</v>
      </c>
      <c r="J327" s="1188" t="s">
        <v>1057</v>
      </c>
    </row>
    <row r="328" spans="1:10" ht="12.75" customHeight="1">
      <c r="A328" s="421" t="s">
        <v>1058</v>
      </c>
      <c r="B328" s="564"/>
      <c r="C328" s="564"/>
      <c r="D328" s="564"/>
      <c r="E328" s="564"/>
      <c r="F328" s="455">
        <f>SUM(C328:E328)</f>
        <v>0</v>
      </c>
      <c r="G328" s="564"/>
      <c r="H328" s="564"/>
      <c r="I328" s="455">
        <f>SUM(G328:H328)</f>
        <v>0</v>
      </c>
      <c r="J328" s="1188" t="s">
        <v>1059</v>
      </c>
    </row>
    <row r="329" spans="1:10" ht="12.75" customHeight="1">
      <c r="A329" s="421" t="s">
        <v>1060</v>
      </c>
      <c r="B329" s="564"/>
      <c r="C329" s="564"/>
      <c r="D329" s="564"/>
      <c r="E329" s="564"/>
      <c r="F329" s="455">
        <f>SUM(C329:E329)</f>
        <v>0</v>
      </c>
      <c r="G329" s="564"/>
      <c r="H329" s="564"/>
      <c r="I329" s="455">
        <f>SUM(G329:H329)</f>
        <v>0</v>
      </c>
      <c r="J329" s="1188" t="s">
        <v>1061</v>
      </c>
    </row>
    <row r="330" spans="1:10" ht="12.75" customHeight="1">
      <c r="A330" s="421" t="s">
        <v>1062</v>
      </c>
      <c r="B330" s="564"/>
      <c r="C330" s="564"/>
      <c r="D330" s="564"/>
      <c r="E330" s="564"/>
      <c r="F330" s="455">
        <f>SUM(C330:E330)</f>
        <v>0</v>
      </c>
      <c r="G330" s="564"/>
      <c r="H330" s="564"/>
      <c r="I330" s="455">
        <f>SUM(G330:H330)</f>
        <v>0</v>
      </c>
      <c r="J330" s="1188" t="s">
        <v>1063</v>
      </c>
    </row>
    <row r="331" spans="1:10" ht="12.75" customHeight="1">
      <c r="A331" s="464" t="s">
        <v>1064</v>
      </c>
      <c r="B331" s="455">
        <f t="shared" ref="B331:I331" si="59">SUM(B326:B330)</f>
        <v>0</v>
      </c>
      <c r="C331" s="455">
        <f t="shared" si="59"/>
        <v>0</v>
      </c>
      <c r="D331" s="455">
        <f t="shared" si="59"/>
        <v>0</v>
      </c>
      <c r="E331" s="455">
        <f t="shared" si="59"/>
        <v>0</v>
      </c>
      <c r="F331" s="455">
        <f t="shared" si="59"/>
        <v>0</v>
      </c>
      <c r="G331" s="455">
        <f t="shared" si="59"/>
        <v>0</v>
      </c>
      <c r="H331" s="455">
        <f t="shared" si="59"/>
        <v>0</v>
      </c>
      <c r="I331" s="455">
        <f t="shared" si="59"/>
        <v>0</v>
      </c>
      <c r="J331" s="1188" t="s">
        <v>1065</v>
      </c>
    </row>
    <row r="333" spans="1:10" ht="12.75" customHeight="1">
      <c r="A333" s="101" t="s">
        <v>1100</v>
      </c>
      <c r="B333" s="566"/>
      <c r="C333" s="566"/>
      <c r="D333" s="566"/>
      <c r="E333" s="566"/>
      <c r="F333" s="455">
        <f>SUM(C333:E333)</f>
        <v>0</v>
      </c>
      <c r="G333" s="566"/>
      <c r="H333" s="564"/>
      <c r="I333" s="455">
        <f>SUM(G333:H333)</f>
        <v>0</v>
      </c>
      <c r="J333" s="1188" t="s">
        <v>1803</v>
      </c>
    </row>
    <row r="334" spans="1:10" ht="12.75" customHeight="1">
      <c r="A334" s="101" t="s">
        <v>1205</v>
      </c>
      <c r="B334" s="566"/>
      <c r="C334" s="566"/>
      <c r="D334" s="566"/>
      <c r="E334" s="566"/>
      <c r="F334" s="455">
        <f>SUM(C334:E334)</f>
        <v>0</v>
      </c>
      <c r="G334" s="566"/>
      <c r="H334" s="564"/>
      <c r="I334" s="455">
        <f>SUM(G334:H334)</f>
        <v>0</v>
      </c>
      <c r="J334" s="1188" t="s">
        <v>1804</v>
      </c>
    </row>
    <row r="335" spans="1:10" ht="12.75" customHeight="1">
      <c r="A335" s="101" t="s">
        <v>1206</v>
      </c>
      <c r="B335" s="566"/>
      <c r="C335" s="566"/>
      <c r="D335" s="566"/>
      <c r="E335" s="566"/>
      <c r="F335" s="455">
        <f>SUM(C335:E335)</f>
        <v>0</v>
      </c>
      <c r="G335" s="566"/>
      <c r="H335" s="564"/>
      <c r="I335" s="455">
        <f>SUM(G335:H335)</f>
        <v>0</v>
      </c>
      <c r="J335" s="1188" t="s">
        <v>1805</v>
      </c>
    </row>
    <row r="336" spans="1:10" ht="12.75" customHeight="1">
      <c r="A336" s="101" t="s">
        <v>1207</v>
      </c>
      <c r="B336" s="566"/>
      <c r="C336" s="566"/>
      <c r="D336" s="566"/>
      <c r="E336" s="566"/>
      <c r="F336" s="455">
        <f>SUM(C336:E336)</f>
        <v>0</v>
      </c>
      <c r="G336" s="566"/>
      <c r="H336" s="564"/>
      <c r="I336" s="455">
        <f>SUM(G336:H336)</f>
        <v>0</v>
      </c>
      <c r="J336" s="1188" t="s">
        <v>1806</v>
      </c>
    </row>
    <row r="337" spans="1:10" ht="12.75" customHeight="1">
      <c r="A337" s="459" t="s">
        <v>1103</v>
      </c>
      <c r="B337" s="455">
        <f t="shared" ref="B337:I337" si="60">SUM(B333:B336)</f>
        <v>0</v>
      </c>
      <c r="C337" s="455">
        <f t="shared" si="60"/>
        <v>0</v>
      </c>
      <c r="D337" s="455">
        <f t="shared" si="60"/>
        <v>0</v>
      </c>
      <c r="E337" s="455">
        <f t="shared" si="60"/>
        <v>0</v>
      </c>
      <c r="F337" s="455">
        <f t="shared" si="60"/>
        <v>0</v>
      </c>
      <c r="G337" s="455">
        <f t="shared" si="60"/>
        <v>0</v>
      </c>
      <c r="H337" s="455">
        <f t="shared" si="60"/>
        <v>0</v>
      </c>
      <c r="I337" s="455">
        <f t="shared" si="60"/>
        <v>0</v>
      </c>
      <c r="J337" s="1188" t="s">
        <v>1807</v>
      </c>
    </row>
    <row r="339" spans="1:10" ht="12.75" customHeight="1">
      <c r="A339" s="101" t="s">
        <v>1208</v>
      </c>
      <c r="B339" s="566"/>
      <c r="C339" s="566"/>
      <c r="D339" s="566"/>
      <c r="E339" s="566"/>
      <c r="F339" s="455">
        <f>SUM(C339:E339)</f>
        <v>0</v>
      </c>
      <c r="G339" s="566"/>
      <c r="H339" s="564"/>
      <c r="I339" s="455">
        <f>SUM(G339:H339)</f>
        <v>0</v>
      </c>
      <c r="J339" s="1188" t="s">
        <v>1808</v>
      </c>
    </row>
    <row r="340" spans="1:10" ht="12.75" customHeight="1">
      <c r="A340" s="101" t="s">
        <v>868</v>
      </c>
      <c r="B340" s="566"/>
      <c r="C340" s="566"/>
      <c r="D340" s="566"/>
      <c r="E340" s="566"/>
      <c r="F340" s="455">
        <f>SUM(C340:E340)</f>
        <v>0</v>
      </c>
      <c r="G340" s="566"/>
      <c r="H340" s="564"/>
      <c r="I340" s="455">
        <f>SUM(G340:H340)</f>
        <v>0</v>
      </c>
      <c r="J340" s="1188" t="s">
        <v>1809</v>
      </c>
    </row>
    <row r="341" spans="1:10" ht="12.75" customHeight="1">
      <c r="A341" s="107" t="s">
        <v>1516</v>
      </c>
      <c r="B341" s="1019"/>
      <c r="C341" s="1019"/>
      <c r="D341" s="1019"/>
      <c r="E341" s="1019"/>
      <c r="F341" s="455">
        <f>SUM(C341:E341)</f>
        <v>0</v>
      </c>
      <c r="G341" s="1019"/>
      <c r="H341" s="564"/>
      <c r="I341" s="455">
        <f>SUM(G341:H341)</f>
        <v>0</v>
      </c>
      <c r="J341" s="1188" t="s">
        <v>1810</v>
      </c>
    </row>
    <row r="342" spans="1:10" ht="12.75" customHeight="1">
      <c r="A342" s="101" t="s">
        <v>2059</v>
      </c>
      <c r="B342" s="566"/>
      <c r="C342" s="566"/>
      <c r="D342" s="566"/>
      <c r="E342" s="566"/>
      <c r="F342" s="455">
        <f>SUM(C342:E342)</f>
        <v>0</v>
      </c>
      <c r="G342" s="566"/>
      <c r="H342" s="564"/>
      <c r="I342" s="455">
        <f>SUM(G342:H342)</f>
        <v>0</v>
      </c>
      <c r="J342" s="1188" t="s">
        <v>1811</v>
      </c>
    </row>
    <row r="343" spans="1:10" ht="12.75" customHeight="1">
      <c r="A343" s="458" t="s">
        <v>2234</v>
      </c>
      <c r="B343" s="455">
        <f t="shared" ref="B343:I343" si="61">SUM(B339:B342)</f>
        <v>0</v>
      </c>
      <c r="C343" s="455">
        <f t="shared" si="61"/>
        <v>0</v>
      </c>
      <c r="D343" s="455">
        <f t="shared" si="61"/>
        <v>0</v>
      </c>
      <c r="E343" s="455">
        <f t="shared" si="61"/>
        <v>0</v>
      </c>
      <c r="F343" s="455">
        <f t="shared" si="61"/>
        <v>0</v>
      </c>
      <c r="G343" s="455">
        <f t="shared" si="61"/>
        <v>0</v>
      </c>
      <c r="H343" s="455">
        <f t="shared" si="61"/>
        <v>0</v>
      </c>
      <c r="I343" s="455">
        <f t="shared" si="61"/>
        <v>0</v>
      </c>
      <c r="J343" s="1188" t="s">
        <v>1812</v>
      </c>
    </row>
    <row r="345" spans="1:10" ht="12.75" customHeight="1">
      <c r="A345" s="96" t="s">
        <v>1066</v>
      </c>
      <c r="B345" s="566"/>
      <c r="C345" s="566"/>
      <c r="D345" s="566"/>
      <c r="E345" s="566"/>
      <c r="F345" s="455">
        <f>SUM(C345:E345)</f>
        <v>0</v>
      </c>
      <c r="G345" s="564"/>
      <c r="H345" s="564"/>
      <c r="I345" s="455">
        <f>SUM(G345:H345)</f>
        <v>0</v>
      </c>
      <c r="J345" s="1188" t="s">
        <v>1067</v>
      </c>
    </row>
    <row r="346" spans="1:10" ht="12.75" customHeight="1">
      <c r="A346" s="96" t="s">
        <v>1068</v>
      </c>
      <c r="B346" s="566"/>
      <c r="C346" s="566"/>
      <c r="D346" s="566"/>
      <c r="E346" s="566"/>
      <c r="F346" s="455">
        <f>SUM(C346:E346)</f>
        <v>0</v>
      </c>
      <c r="G346" s="564"/>
      <c r="H346" s="564"/>
      <c r="I346" s="455">
        <f>SUM(G346:H346)</f>
        <v>0</v>
      </c>
      <c r="J346" s="1188" t="s">
        <v>1069</v>
      </c>
    </row>
    <row r="347" spans="1:10" ht="12.75" customHeight="1">
      <c r="A347" s="96" t="s">
        <v>1070</v>
      </c>
      <c r="B347" s="566"/>
      <c r="C347" s="566"/>
      <c r="D347" s="566"/>
      <c r="E347" s="566"/>
      <c r="F347" s="455">
        <f>SUM(C347:E347)</f>
        <v>0</v>
      </c>
      <c r="G347" s="564"/>
      <c r="H347" s="564"/>
      <c r="I347" s="455">
        <f>SUM(G347:H347)</f>
        <v>0</v>
      </c>
      <c r="J347" s="1188" t="s">
        <v>1071</v>
      </c>
    </row>
    <row r="348" spans="1:10" ht="12.75" customHeight="1">
      <c r="A348" s="459" t="s">
        <v>1072</v>
      </c>
      <c r="B348" s="455">
        <f t="shared" ref="B348:I348" si="62">SUM(B345:B347)</f>
        <v>0</v>
      </c>
      <c r="C348" s="455">
        <f t="shared" si="62"/>
        <v>0</v>
      </c>
      <c r="D348" s="455">
        <f t="shared" si="62"/>
        <v>0</v>
      </c>
      <c r="E348" s="455">
        <f t="shared" si="62"/>
        <v>0</v>
      </c>
      <c r="F348" s="455">
        <f t="shared" si="62"/>
        <v>0</v>
      </c>
      <c r="G348" s="455">
        <f t="shared" si="62"/>
        <v>0</v>
      </c>
      <c r="H348" s="455">
        <f t="shared" si="62"/>
        <v>0</v>
      </c>
      <c r="I348" s="455">
        <f t="shared" si="62"/>
        <v>0</v>
      </c>
      <c r="J348" s="1188" t="s">
        <v>1073</v>
      </c>
    </row>
    <row r="350" spans="1:10" ht="12.75" customHeight="1">
      <c r="A350" s="96" t="s">
        <v>1074</v>
      </c>
      <c r="B350" s="566"/>
      <c r="C350" s="566"/>
      <c r="D350" s="566"/>
      <c r="E350" s="566"/>
      <c r="F350" s="455">
        <f>SUM(C350:E350)</f>
        <v>0</v>
      </c>
      <c r="G350" s="564"/>
      <c r="H350" s="564"/>
      <c r="I350" s="455">
        <f>SUM(G350:H350)</f>
        <v>0</v>
      </c>
      <c r="J350" s="1188" t="s">
        <v>1075</v>
      </c>
    </row>
    <row r="351" spans="1:10" ht="12.75" customHeight="1">
      <c r="A351" s="96" t="s">
        <v>1076</v>
      </c>
      <c r="B351" s="566"/>
      <c r="C351" s="566"/>
      <c r="D351" s="566"/>
      <c r="E351" s="566"/>
      <c r="F351" s="455">
        <f>SUM(C351:E351)</f>
        <v>0</v>
      </c>
      <c r="G351" s="564"/>
      <c r="H351" s="564"/>
      <c r="I351" s="455">
        <f>SUM(G351:H351)</f>
        <v>0</v>
      </c>
      <c r="J351" s="1188" t="s">
        <v>1077</v>
      </c>
    </row>
    <row r="352" spans="1:10" ht="12.75" customHeight="1">
      <c r="A352" s="96" t="s">
        <v>2231</v>
      </c>
      <c r="B352" s="566"/>
      <c r="C352" s="566"/>
      <c r="D352" s="566"/>
      <c r="E352" s="566"/>
      <c r="F352" s="455">
        <f>SUM(C352:E352)</f>
        <v>0</v>
      </c>
      <c r="G352" s="564"/>
      <c r="H352" s="564"/>
      <c r="I352" s="455">
        <f>SUM(G352:H352)</f>
        <v>0</v>
      </c>
      <c r="J352" s="1188" t="s">
        <v>1813</v>
      </c>
    </row>
    <row r="353" spans="1:10" ht="12.75" customHeight="1">
      <c r="A353" s="96" t="s">
        <v>1425</v>
      </c>
      <c r="B353" s="566"/>
      <c r="C353" s="566"/>
      <c r="D353" s="566"/>
      <c r="E353" s="566"/>
      <c r="F353" s="455">
        <f>SUM(C353:E353)</f>
        <v>0</v>
      </c>
      <c r="G353" s="564"/>
      <c r="H353" s="564"/>
      <c r="I353" s="455">
        <f>SUM(G353:H353)</f>
        <v>0</v>
      </c>
      <c r="J353" s="1188" t="s">
        <v>1814</v>
      </c>
    </row>
    <row r="354" spans="1:10" ht="12.75" customHeight="1">
      <c r="A354" s="96" t="s">
        <v>1426</v>
      </c>
      <c r="B354" s="566"/>
      <c r="C354" s="566"/>
      <c r="D354" s="566"/>
      <c r="E354" s="566"/>
      <c r="F354" s="455">
        <f>SUM(C354:E354)</f>
        <v>0</v>
      </c>
      <c r="G354" s="564"/>
      <c r="H354" s="564"/>
      <c r="I354" s="455">
        <f>SUM(G354:H354)</f>
        <v>0</v>
      </c>
      <c r="J354" s="1188" t="s">
        <v>1815</v>
      </c>
    </row>
    <row r="355" spans="1:10" ht="12.75" customHeight="1">
      <c r="A355" s="459" t="s">
        <v>1078</v>
      </c>
      <c r="B355" s="455">
        <f t="shared" ref="B355:I355" si="63">SUM(B350:B354)</f>
        <v>0</v>
      </c>
      <c r="C355" s="455">
        <f t="shared" si="63"/>
        <v>0</v>
      </c>
      <c r="D355" s="455">
        <f t="shared" si="63"/>
        <v>0</v>
      </c>
      <c r="E355" s="455">
        <f t="shared" si="63"/>
        <v>0</v>
      </c>
      <c r="F355" s="455">
        <f t="shared" si="63"/>
        <v>0</v>
      </c>
      <c r="G355" s="455">
        <f t="shared" si="63"/>
        <v>0</v>
      </c>
      <c r="H355" s="455">
        <f t="shared" si="63"/>
        <v>0</v>
      </c>
      <c r="I355" s="455">
        <f t="shared" si="63"/>
        <v>0</v>
      </c>
      <c r="J355" s="1188" t="s">
        <v>1079</v>
      </c>
    </row>
    <row r="357" spans="1:10" ht="12.75" customHeight="1">
      <c r="A357" s="459" t="s">
        <v>1080</v>
      </c>
      <c r="B357" s="455">
        <f>B312+B318+B324+B331+B337+B343+B348+B355</f>
        <v>0</v>
      </c>
      <c r="C357" s="455">
        <f t="shared" ref="C357:I357" si="64">C312+C318+C324+C331+C337+C343+C348+C355</f>
        <v>0</v>
      </c>
      <c r="D357" s="455">
        <f t="shared" si="64"/>
        <v>0</v>
      </c>
      <c r="E357" s="455">
        <f t="shared" si="64"/>
        <v>0</v>
      </c>
      <c r="F357" s="455">
        <f t="shared" si="64"/>
        <v>0</v>
      </c>
      <c r="G357" s="455">
        <f t="shared" si="64"/>
        <v>0</v>
      </c>
      <c r="H357" s="455">
        <f t="shared" si="64"/>
        <v>0</v>
      </c>
      <c r="I357" s="455">
        <f t="shared" si="64"/>
        <v>0</v>
      </c>
      <c r="J357" s="1188" t="s">
        <v>1081</v>
      </c>
    </row>
    <row r="359" spans="1:10" ht="12.75" customHeight="1">
      <c r="A359" s="53" t="s">
        <v>1082</v>
      </c>
    </row>
    <row r="360" spans="1:10" ht="12.75" customHeight="1">
      <c r="A360" s="96" t="s">
        <v>1083</v>
      </c>
      <c r="B360" s="566">
        <v>1</v>
      </c>
      <c r="C360" s="566">
        <v>0</v>
      </c>
      <c r="D360" s="566">
        <v>0</v>
      </c>
      <c r="E360" s="566">
        <v>0</v>
      </c>
      <c r="F360" s="455">
        <f>SUM(C360:E360)</f>
        <v>0</v>
      </c>
      <c r="G360" s="564">
        <v>0</v>
      </c>
      <c r="H360" s="564">
        <v>1</v>
      </c>
      <c r="I360" s="455">
        <f>SUM(G360:H360)</f>
        <v>1</v>
      </c>
      <c r="J360" s="1188" t="s">
        <v>1084</v>
      </c>
    </row>
    <row r="361" spans="1:10" ht="12.75" customHeight="1">
      <c r="A361" s="96" t="s">
        <v>1085</v>
      </c>
      <c r="B361" s="566">
        <v>1</v>
      </c>
      <c r="C361" s="566">
        <v>0</v>
      </c>
      <c r="D361" s="566">
        <v>0</v>
      </c>
      <c r="E361" s="566">
        <v>0</v>
      </c>
      <c r="F361" s="455">
        <f>SUM(C361:E361)</f>
        <v>0</v>
      </c>
      <c r="G361" s="564">
        <v>0</v>
      </c>
      <c r="H361" s="564">
        <v>1</v>
      </c>
      <c r="I361" s="455">
        <f>SUM(G361:H361)</f>
        <v>1</v>
      </c>
      <c r="J361" s="1188" t="s">
        <v>1086</v>
      </c>
    </row>
    <row r="362" spans="1:10" ht="12.75" customHeight="1">
      <c r="A362" s="97" t="s">
        <v>1087</v>
      </c>
      <c r="B362" s="566"/>
      <c r="C362" s="566"/>
      <c r="D362" s="566"/>
      <c r="E362" s="566"/>
      <c r="F362" s="455">
        <f>SUM(C362:E362)</f>
        <v>0</v>
      </c>
      <c r="G362" s="564"/>
      <c r="H362" s="564"/>
      <c r="I362" s="455">
        <f>SUM(G362:H362)</f>
        <v>0</v>
      </c>
      <c r="J362" s="1188" t="s">
        <v>1088</v>
      </c>
    </row>
    <row r="363" spans="1:10" ht="12.75" customHeight="1">
      <c r="A363" s="97" t="s">
        <v>1089</v>
      </c>
      <c r="B363" s="1019">
        <v>14</v>
      </c>
      <c r="C363" s="1019">
        <v>0</v>
      </c>
      <c r="D363" s="1019">
        <v>0</v>
      </c>
      <c r="E363" s="1019">
        <v>0</v>
      </c>
      <c r="F363" s="455">
        <f>SUM(C363:E363)</f>
        <v>0</v>
      </c>
      <c r="G363" s="567">
        <v>6</v>
      </c>
      <c r="H363" s="564">
        <v>8</v>
      </c>
      <c r="I363" s="455">
        <f>SUM(G363:H363)</f>
        <v>14</v>
      </c>
      <c r="J363" s="1188" t="s">
        <v>1090</v>
      </c>
    </row>
    <row r="364" spans="1:10" ht="12.75" customHeight="1">
      <c r="A364" s="96" t="s">
        <v>542</v>
      </c>
      <c r="B364" s="566"/>
      <c r="C364" s="566"/>
      <c r="D364" s="566"/>
      <c r="E364" s="566"/>
      <c r="F364" s="455">
        <f>SUM(C364:E364)</f>
        <v>0</v>
      </c>
      <c r="G364" s="564"/>
      <c r="H364" s="564"/>
      <c r="I364" s="455">
        <f>SUM(G364:H364)</f>
        <v>0</v>
      </c>
      <c r="J364" s="1188" t="s">
        <v>683</v>
      </c>
    </row>
    <row r="365" spans="1:10" ht="12.75" customHeight="1">
      <c r="A365" s="458" t="s">
        <v>684</v>
      </c>
      <c r="B365" s="455">
        <f t="shared" ref="B365:I365" si="65">SUM(B360:B364)</f>
        <v>16</v>
      </c>
      <c r="C365" s="455">
        <f t="shared" si="65"/>
        <v>0</v>
      </c>
      <c r="D365" s="455">
        <f t="shared" si="65"/>
        <v>0</v>
      </c>
      <c r="E365" s="455">
        <f t="shared" si="65"/>
        <v>0</v>
      </c>
      <c r="F365" s="455">
        <f t="shared" si="65"/>
        <v>0</v>
      </c>
      <c r="G365" s="455">
        <f t="shared" si="65"/>
        <v>6</v>
      </c>
      <c r="H365" s="455">
        <f t="shared" si="65"/>
        <v>10</v>
      </c>
      <c r="I365" s="455">
        <f t="shared" si="65"/>
        <v>16</v>
      </c>
      <c r="J365" s="1188" t="s">
        <v>685</v>
      </c>
    </row>
    <row r="367" spans="1:10" ht="12.75" customHeight="1">
      <c r="A367" s="96" t="s">
        <v>686</v>
      </c>
      <c r="B367" s="566">
        <v>6</v>
      </c>
      <c r="C367" s="566">
        <v>0</v>
      </c>
      <c r="D367" s="566">
        <v>0</v>
      </c>
      <c r="E367" s="566">
        <v>0</v>
      </c>
      <c r="F367" s="455">
        <f>SUM(C367:E367)</f>
        <v>0</v>
      </c>
      <c r="G367" s="564">
        <v>1</v>
      </c>
      <c r="H367" s="564">
        <v>5</v>
      </c>
      <c r="I367" s="455">
        <f>SUM(G367:H367)</f>
        <v>6</v>
      </c>
      <c r="J367" s="1188" t="s">
        <v>687</v>
      </c>
    </row>
    <row r="368" spans="1:10" ht="12.75" customHeight="1">
      <c r="A368" s="96" t="s">
        <v>688</v>
      </c>
      <c r="B368" s="566">
        <v>15</v>
      </c>
      <c r="C368" s="566">
        <v>0</v>
      </c>
      <c r="D368" s="566">
        <v>0</v>
      </c>
      <c r="E368" s="566">
        <v>0</v>
      </c>
      <c r="F368" s="455">
        <f>SUM(C368:E368)</f>
        <v>0</v>
      </c>
      <c r="G368" s="564">
        <v>8</v>
      </c>
      <c r="H368" s="564">
        <v>7</v>
      </c>
      <c r="I368" s="455">
        <f>SUM(G368:H368)</f>
        <v>15</v>
      </c>
      <c r="J368" s="1188" t="s">
        <v>689</v>
      </c>
    </row>
    <row r="369" spans="1:10" ht="12.75" customHeight="1">
      <c r="A369" s="96" t="s">
        <v>1427</v>
      </c>
      <c r="B369" s="566"/>
      <c r="C369" s="566"/>
      <c r="D369" s="566"/>
      <c r="E369" s="566"/>
      <c r="F369" s="455">
        <f>SUM(C369:E369)</f>
        <v>0</v>
      </c>
      <c r="G369" s="564"/>
      <c r="H369" s="564"/>
      <c r="I369" s="455">
        <f>SUM(G369:H369)</f>
        <v>0</v>
      </c>
      <c r="J369" s="1188" t="s">
        <v>1816</v>
      </c>
    </row>
    <row r="370" spans="1:10" ht="12.75" customHeight="1">
      <c r="A370" s="96" t="s">
        <v>1428</v>
      </c>
      <c r="B370" s="1019">
        <v>93</v>
      </c>
      <c r="C370" s="1019">
        <v>0</v>
      </c>
      <c r="D370" s="1019">
        <v>0</v>
      </c>
      <c r="E370" s="1019">
        <v>0</v>
      </c>
      <c r="F370" s="455">
        <f>SUM(C370:E370)</f>
        <v>0</v>
      </c>
      <c r="G370" s="567">
        <v>32</v>
      </c>
      <c r="H370" s="564">
        <v>61</v>
      </c>
      <c r="I370" s="455">
        <f>SUM(G370:H370)</f>
        <v>93</v>
      </c>
      <c r="J370" s="1188" t="s">
        <v>690</v>
      </c>
    </row>
    <row r="371" spans="1:10" ht="12.75" customHeight="1">
      <c r="A371" s="96" t="s">
        <v>1429</v>
      </c>
      <c r="B371" s="566"/>
      <c r="C371" s="566"/>
      <c r="D371" s="566"/>
      <c r="E371" s="566"/>
      <c r="F371" s="455">
        <f>SUM(C371:E371)</f>
        <v>0</v>
      </c>
      <c r="G371" s="564"/>
      <c r="H371" s="564"/>
      <c r="I371" s="455">
        <f>SUM(G371:H371)</f>
        <v>0</v>
      </c>
      <c r="J371" s="1188" t="s">
        <v>691</v>
      </c>
    </row>
    <row r="372" spans="1:10" ht="12.75" customHeight="1">
      <c r="A372" s="458" t="s">
        <v>692</v>
      </c>
      <c r="B372" s="455">
        <f t="shared" ref="B372:I372" si="66">SUM(B367:B371)</f>
        <v>114</v>
      </c>
      <c r="C372" s="455">
        <f t="shared" si="66"/>
        <v>0</v>
      </c>
      <c r="D372" s="455">
        <f t="shared" si="66"/>
        <v>0</v>
      </c>
      <c r="E372" s="455">
        <f t="shared" si="66"/>
        <v>0</v>
      </c>
      <c r="F372" s="455">
        <f t="shared" si="66"/>
        <v>0</v>
      </c>
      <c r="G372" s="455">
        <f t="shared" si="66"/>
        <v>41</v>
      </c>
      <c r="H372" s="455">
        <f t="shared" si="66"/>
        <v>73</v>
      </c>
      <c r="I372" s="455">
        <f t="shared" si="66"/>
        <v>114</v>
      </c>
      <c r="J372" s="1188" t="s">
        <v>693</v>
      </c>
    </row>
    <row r="374" spans="1:10" ht="12.75" customHeight="1">
      <c r="A374" s="459" t="s">
        <v>1082</v>
      </c>
      <c r="B374" s="455">
        <f t="shared" ref="B374:I374" si="67">B365+B372</f>
        <v>130</v>
      </c>
      <c r="C374" s="455">
        <f t="shared" si="67"/>
        <v>0</v>
      </c>
      <c r="D374" s="455">
        <f t="shared" si="67"/>
        <v>0</v>
      </c>
      <c r="E374" s="455">
        <f t="shared" si="67"/>
        <v>0</v>
      </c>
      <c r="F374" s="455">
        <f t="shared" si="67"/>
        <v>0</v>
      </c>
      <c r="G374" s="455">
        <f t="shared" si="67"/>
        <v>47</v>
      </c>
      <c r="H374" s="455">
        <f t="shared" si="67"/>
        <v>83</v>
      </c>
      <c r="I374" s="455">
        <f t="shared" si="67"/>
        <v>130</v>
      </c>
      <c r="J374" s="1189" t="s">
        <v>694</v>
      </c>
    </row>
    <row r="376" spans="1:10" ht="12.75" customHeight="1">
      <c r="A376" s="459" t="s">
        <v>696</v>
      </c>
      <c r="B376" s="455">
        <f t="shared" ref="B376:I376" si="68">B49+B90+B145+B166+B204+B266+B280+B305+B357+B374</f>
        <v>4285</v>
      </c>
      <c r="C376" s="455">
        <f t="shared" si="68"/>
        <v>229</v>
      </c>
      <c r="D376" s="455">
        <f t="shared" si="68"/>
        <v>210</v>
      </c>
      <c r="E376" s="455">
        <f t="shared" si="68"/>
        <v>112</v>
      </c>
      <c r="F376" s="455">
        <f t="shared" si="68"/>
        <v>551</v>
      </c>
      <c r="G376" s="455">
        <f t="shared" si="68"/>
        <v>1578</v>
      </c>
      <c r="H376" s="455">
        <f t="shared" si="68"/>
        <v>3258</v>
      </c>
      <c r="I376" s="455">
        <f t="shared" si="68"/>
        <v>4836</v>
      </c>
      <c r="J376" s="1194" t="s">
        <v>695</v>
      </c>
    </row>
    <row r="378" spans="1:10" ht="12.75" customHeight="1">
      <c r="A378" s="91" t="s">
        <v>134</v>
      </c>
      <c r="B378" s="414"/>
      <c r="C378" s="414"/>
      <c r="D378" s="414"/>
      <c r="E378" s="414"/>
      <c r="F378" s="414"/>
      <c r="G378" s="414"/>
      <c r="H378" s="414"/>
    </row>
  </sheetData>
  <sheetProtection algorithmName="SHA-512" hashValue="fFvWMwiMp8oXp0XzxU/7YSg9AdtjDq9DdKm0tgERgc+lqjdoq/+QR+P1RiSAU+GUc343TXnN71iObY8N9aNjUw==" saltValue="xy73aqz2raprUrq4vLgUlg==" spinCount="100000" sheet="1" objects="1" scenarios="1"/>
  <mergeCells count="10">
    <mergeCell ref="B10:F10"/>
    <mergeCell ref="G10:H10"/>
    <mergeCell ref="I10:I16"/>
    <mergeCell ref="C11:F11"/>
    <mergeCell ref="C12:E12"/>
    <mergeCell ref="A8:I8"/>
    <mergeCell ref="B1:C1"/>
    <mergeCell ref="A3:I3"/>
    <mergeCell ref="A6:I6"/>
    <mergeCell ref="A7:I7"/>
  </mergeCells>
  <dataValidations count="1">
    <dataValidation type="whole" allowBlank="1" showInputMessage="1" showErrorMessage="1" errorTitle="Erreur de saisie" error="Vous devez saisir une valeur entière" sqref="B19:E22 G19:H22 B25:E29 G25:H29 B32:E32 G32:H32 G35:H39 B35:E39 B42:E46 G42:H46 B52:E55 G52:H55 B58:E61 G58:H61 B64:E68 G64:H68 B71:E73 G71:H73 B76:E80 G76:H80 B83:E87 G83:H87 B93:E95 G93:H95 B98:E100 G98:H100 B103:E105 G103:H105 B108:E110 G108:H110 B113:E116 G113:H116 G119:H121 B119:E121 B124:E128 G124:H128 B138:E142 G138:H142 G148:H150 B148:E150 B153:E157 G153:H157 B160:E163 G160:H163 B169:E172 G169:H172 B175:E178 G175:H178 B181:E184 G181:H184 B187:E189 G187:H189 B192:E194 G192:H194 B197:E201 G197:H201 B207:E210 G207:H210 G213:H215 B213:E215 B218:E220 G218:H220 B223:E226 G223:H226 G229:H230 B229:E230 B233:E234 G233:H234 G237:H240 B237:E240 B243:E243 G243:H243 G246:H249 B246:E249 B252:E253 G252:H253 B256:E258 G256:H258 B261:E263 G261:H263 G269:H272 B269:E272 B275:E277 G275:H277 G283:H285 B283:E285 B288:E291 G288:H291 G294:H297 B294:E297 B300:E302 G300:H302 G308:H311 B308:E311 B314:E317 G314:H317 G320:H323 B320:E323 B326:E330 G326:H330 G333:H336 B333:E336 B339:E342 G339:H342 G345:H347 B345:E347 B350:E354 G350:H354 G360:H364 B360:E364 B367:E371 G367:H371">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14" firstPageNumber="0" orientation="portrait" r:id="rId1"/>
  <headerFooter alignWithMargins="0">
    <oddFooter>&amp;LRSU 2020 - Présentation au CTP&amp;R&amp;P/&amp;N
&amp;A</oddFooter>
  </headerFooter>
  <rowBreaks count="1" manualBreakCount="1">
    <brk id="50" max="16383" man="1"/>
  </rowBreaks>
</worksheet>
</file>

<file path=xl/worksheets/sheet16.xml><?xml version="1.0" encoding="utf-8"?>
<worksheet xmlns="http://schemas.openxmlformats.org/spreadsheetml/2006/main" xmlns:r="http://schemas.openxmlformats.org/officeDocument/2006/relationships">
  <sheetPr codeName="Feuil8">
    <pageSetUpPr fitToPage="1"/>
  </sheetPr>
  <dimension ref="A1:F35"/>
  <sheetViews>
    <sheetView showGridLines="0" zoomScaleNormal="100" workbookViewId="0"/>
  </sheetViews>
  <sheetFormatPr baseColWidth="10" defaultColWidth="10.85546875" defaultRowHeight="12.75" customHeight="1"/>
  <cols>
    <col min="1" max="1" width="25.7109375" customWidth="1"/>
    <col min="2" max="2" width="22.28515625" customWidth="1"/>
    <col min="3" max="5" width="10.85546875" customWidth="1"/>
    <col min="6" max="6" width="13.5703125" customWidth="1"/>
    <col min="7" max="14" width="10.85546875" customWidth="1"/>
  </cols>
  <sheetData>
    <row r="1" spans="1:6" ht="17.100000000000001" customHeight="1">
      <c r="A1" s="10"/>
      <c r="B1" s="21"/>
      <c r="C1" s="2245" t="s">
        <v>958</v>
      </c>
      <c r="D1" s="2245"/>
      <c r="E1" s="1"/>
      <c r="F1" s="1"/>
    </row>
    <row r="2" spans="1:6" ht="13.5" thickBot="1"/>
    <row r="3" spans="1:6" ht="38.25" customHeight="1" thickBot="1">
      <c r="A3" s="2273" t="s">
        <v>2338</v>
      </c>
      <c r="B3" s="2273"/>
      <c r="C3" s="2273"/>
      <c r="D3" s="2273"/>
      <c r="E3" s="2273"/>
      <c r="F3" s="2273"/>
    </row>
    <row r="6" spans="1:6" ht="26.25" customHeight="1">
      <c r="A6" s="2242" t="s">
        <v>1723</v>
      </c>
      <c r="B6" s="2242"/>
      <c r="C6" s="2242"/>
      <c r="D6" s="2242"/>
      <c r="E6" s="2242"/>
      <c r="F6" s="2242"/>
    </row>
    <row r="7" spans="1:6" ht="12.75" customHeight="1">
      <c r="A7" s="2244" t="s">
        <v>1536</v>
      </c>
      <c r="B7" s="2244"/>
      <c r="C7" s="2244"/>
      <c r="D7" s="2244"/>
      <c r="E7" s="2244"/>
      <c r="F7" s="2244"/>
    </row>
    <row r="10" spans="1:6" ht="12.75" customHeight="1">
      <c r="A10" s="2244" t="s">
        <v>959</v>
      </c>
      <c r="B10" s="2244"/>
      <c r="C10" s="2244"/>
      <c r="D10" s="2244"/>
      <c r="E10" s="2244"/>
      <c r="F10" s="2244"/>
    </row>
    <row r="12" spans="1:6" ht="12.75" customHeight="1">
      <c r="A12" s="2238" t="s">
        <v>1724</v>
      </c>
      <c r="B12" s="2239"/>
      <c r="C12" s="2239"/>
      <c r="D12" s="2239"/>
      <c r="E12" s="2239"/>
      <c r="F12" s="2239"/>
    </row>
    <row r="14" spans="1:6" ht="12.75" customHeight="1">
      <c r="A14" s="2239" t="s">
        <v>1725</v>
      </c>
      <c r="B14" s="2239"/>
      <c r="C14" s="2239"/>
      <c r="D14" s="2239"/>
      <c r="E14" s="2239"/>
      <c r="F14" s="2239"/>
    </row>
    <row r="16" spans="1:6" ht="12.75" customHeight="1">
      <c r="A16" s="2239" t="s">
        <v>2586</v>
      </c>
      <c r="B16" s="2239"/>
      <c r="C16" s="2239"/>
      <c r="D16" s="2239"/>
      <c r="E16" s="2239"/>
      <c r="F16" s="2239"/>
    </row>
    <row r="18" spans="1:6" ht="12.75" customHeight="1">
      <c r="A18" s="2274" t="s">
        <v>1843</v>
      </c>
      <c r="B18" s="2274"/>
      <c r="C18" s="2274"/>
      <c r="D18" s="2274"/>
      <c r="E18" s="2274"/>
      <c r="F18" s="2274"/>
    </row>
    <row r="21" spans="1:6" ht="12.75" customHeight="1">
      <c r="A21" s="2244" t="s">
        <v>960</v>
      </c>
      <c r="B21" s="2244"/>
      <c r="C21" s="2244"/>
      <c r="D21" s="2244"/>
      <c r="E21" s="2244"/>
      <c r="F21" s="2244"/>
    </row>
    <row r="23" spans="1:6" ht="12.75" customHeight="1">
      <c r="A23" s="2239" t="s">
        <v>1726</v>
      </c>
      <c r="B23" s="2239"/>
      <c r="C23" s="2239"/>
      <c r="D23" s="2239"/>
      <c r="E23" s="2239"/>
      <c r="F23" s="2239"/>
    </row>
    <row r="25" spans="1:6" ht="12.75" customHeight="1">
      <c r="A25" s="2239" t="s">
        <v>1727</v>
      </c>
      <c r="B25" s="2239"/>
      <c r="C25" s="2239"/>
      <c r="D25" s="2239"/>
      <c r="E25" s="2239"/>
      <c r="F25" s="2239"/>
    </row>
    <row r="26" spans="1:6" ht="12.75" customHeight="1">
      <c r="A26" s="2258" t="s">
        <v>1728</v>
      </c>
      <c r="B26" s="2259"/>
      <c r="C26" s="2259"/>
      <c r="D26" s="2259"/>
      <c r="E26" s="2259"/>
      <c r="F26" s="2259"/>
    </row>
    <row r="27" spans="1:6" ht="12.75" customHeight="1">
      <c r="A27" s="2258" t="s">
        <v>1729</v>
      </c>
      <c r="B27" s="2259"/>
      <c r="C27" s="2259"/>
      <c r="D27" s="2259"/>
      <c r="E27" s="2259"/>
      <c r="F27" s="2259"/>
    </row>
    <row r="30" spans="1:6" ht="12.75" customHeight="1">
      <c r="A30" s="2276" t="s">
        <v>698</v>
      </c>
      <c r="B30" s="2276"/>
      <c r="C30" s="2276"/>
      <c r="D30" s="2276"/>
      <c r="E30" s="2276"/>
      <c r="F30" s="2276"/>
    </row>
    <row r="31" spans="1:6" ht="53.25" customHeight="1">
      <c r="A31" s="2275" t="s">
        <v>14</v>
      </c>
      <c r="B31" s="2275"/>
      <c r="C31" s="2275"/>
      <c r="D31" s="2275"/>
      <c r="E31" s="2275"/>
      <c r="F31" s="2275"/>
    </row>
    <row r="32" spans="1:6" ht="63.75" customHeight="1">
      <c r="A32" s="2275" t="s">
        <v>15</v>
      </c>
      <c r="B32" s="2275"/>
      <c r="C32" s="2275"/>
      <c r="D32" s="2275"/>
      <c r="E32" s="2275"/>
      <c r="F32" s="2275"/>
    </row>
    <row r="34" spans="1:6" ht="12.75" customHeight="1">
      <c r="A34" s="2276" t="s">
        <v>1309</v>
      </c>
      <c r="B34" s="2276"/>
      <c r="C34" s="2276"/>
      <c r="D34" s="2276"/>
      <c r="E34" s="2276"/>
      <c r="F34" s="2276"/>
    </row>
    <row r="35" spans="1:6" ht="52.5" customHeight="1">
      <c r="A35" s="2275" t="s">
        <v>16</v>
      </c>
      <c r="B35" s="2275"/>
      <c r="C35" s="2275"/>
      <c r="D35" s="2275"/>
      <c r="E35" s="2275"/>
      <c r="F35" s="2275"/>
    </row>
  </sheetData>
  <sheetProtection algorithmName="SHA-512" hashValue="RLG5x3FbNL4AedaauWQnWMK2Rkgg3WcouolDgfj9IA+dM3Jh42rF6bU52rwZjnKbfNJxZb0Gl60axOsl4M4zQg==" saltValue="M74B2qYXld6TR7SUZtXi3w==" spinCount="100000" sheet="1" objects="1" scenarios="1"/>
  <mergeCells count="19">
    <mergeCell ref="A23:F23"/>
    <mergeCell ref="A25:F25"/>
    <mergeCell ref="A35:F35"/>
    <mergeCell ref="A26:F26"/>
    <mergeCell ref="A27:F27"/>
    <mergeCell ref="A30:F30"/>
    <mergeCell ref="A31:F31"/>
    <mergeCell ref="A32:F32"/>
    <mergeCell ref="A34:F34"/>
    <mergeCell ref="C1:D1"/>
    <mergeCell ref="A3:F3"/>
    <mergeCell ref="A6:F6"/>
    <mergeCell ref="A7:F7"/>
    <mergeCell ref="A21:F21"/>
    <mergeCell ref="A18:F18"/>
    <mergeCell ref="A10:F10"/>
    <mergeCell ref="A12:F12"/>
    <mergeCell ref="A14:F14"/>
    <mergeCell ref="A16:F16"/>
  </mergeCell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96" firstPageNumber="0" orientation="portrait" r:id="rId1"/>
  <headerFooter alignWithMargins="0">
    <oddFooter>&amp;LRSU 2020 - Présentation au CTP&amp;R&amp;P/&amp;N
&amp;A</oddFooter>
  </headerFooter>
</worksheet>
</file>

<file path=xl/worksheets/sheet17.xml><?xml version="1.0" encoding="utf-8"?>
<worksheet xmlns="http://schemas.openxmlformats.org/spreadsheetml/2006/main" xmlns:r="http://schemas.openxmlformats.org/officeDocument/2006/relationships">
  <sheetPr codeName="Feuil9">
    <pageSetUpPr fitToPage="1"/>
  </sheetPr>
  <dimension ref="A1:L92"/>
  <sheetViews>
    <sheetView showGridLines="0" workbookViewId="0">
      <pane ySplit="12" topLeftCell="A13" activePane="bottomLeft" state="frozen"/>
      <selection activeCell="H29" sqref="H29:AB29"/>
      <selection pane="bottomLeft"/>
    </sheetView>
  </sheetViews>
  <sheetFormatPr baseColWidth="10" defaultColWidth="10.85546875" defaultRowHeight="12.75" customHeight="1"/>
  <cols>
    <col min="1" max="1" width="62.28515625" customWidth="1"/>
    <col min="2" max="11" width="10" customWidth="1"/>
    <col min="12" max="12" width="11.28515625" customWidth="1"/>
  </cols>
  <sheetData>
    <row r="1" spans="1:12" ht="17.100000000000001" customHeight="1">
      <c r="A1" s="66"/>
      <c r="B1" s="66"/>
      <c r="C1" s="66"/>
      <c r="D1" s="2245" t="s">
        <v>958</v>
      </c>
      <c r="E1" s="2245"/>
      <c r="F1" s="55"/>
      <c r="G1" s="55"/>
      <c r="H1" s="55"/>
      <c r="I1" s="55"/>
      <c r="J1" s="55"/>
      <c r="K1" s="55"/>
    </row>
    <row r="2" spans="1:12">
      <c r="A2" s="66"/>
      <c r="B2" s="66"/>
      <c r="C2" s="66"/>
      <c r="D2" s="66"/>
      <c r="E2" s="66"/>
      <c r="F2" s="66"/>
      <c r="G2" s="66"/>
      <c r="H2" s="66"/>
      <c r="I2" s="66"/>
      <c r="J2" s="242"/>
      <c r="K2" s="242"/>
    </row>
    <row r="3" spans="1:12" ht="27.75" customHeight="1">
      <c r="A3" s="2277" t="s">
        <v>2339</v>
      </c>
      <c r="B3" s="2277"/>
      <c r="C3" s="2277"/>
      <c r="D3" s="2277"/>
      <c r="E3" s="2277"/>
      <c r="F3" s="2277"/>
      <c r="G3" s="2277"/>
      <c r="H3" s="2277"/>
      <c r="I3" s="2277"/>
      <c r="J3" s="2277"/>
      <c r="K3" s="2277"/>
    </row>
    <row r="4" spans="1:12">
      <c r="A4" s="66"/>
      <c r="B4" s="127"/>
      <c r="C4" s="127"/>
      <c r="D4" s="127"/>
      <c r="E4" s="127"/>
      <c r="F4" s="127"/>
      <c r="G4" s="127"/>
      <c r="H4" s="127"/>
      <c r="I4" s="127"/>
      <c r="J4" s="66"/>
      <c r="K4" s="66"/>
    </row>
    <row r="5" spans="1:12" ht="12.75" customHeight="1">
      <c r="A5" s="2278" t="s">
        <v>2337</v>
      </c>
      <c r="B5" s="2278"/>
      <c r="C5" s="2278"/>
      <c r="D5" s="2278"/>
      <c r="E5" s="2278"/>
      <c r="F5" s="2278"/>
      <c r="G5" s="2278"/>
      <c r="H5" s="2278"/>
      <c r="I5" s="2278"/>
      <c r="J5" s="2278"/>
      <c r="K5" s="2278"/>
    </row>
    <row r="6" spans="1:12" ht="13.35" customHeight="1">
      <c r="A6" s="2279" t="s">
        <v>430</v>
      </c>
      <c r="B6" s="2279"/>
      <c r="C6" s="2279"/>
      <c r="D6" s="2279"/>
      <c r="E6" s="2279"/>
      <c r="F6" s="2279"/>
      <c r="G6" s="2279"/>
      <c r="H6" s="2279"/>
      <c r="I6" s="2279"/>
    </row>
    <row r="8" spans="1:12" ht="21.75" customHeight="1">
      <c r="B8" s="1195">
        <v>10</v>
      </c>
      <c r="C8" s="1195">
        <v>10</v>
      </c>
      <c r="D8" s="1196">
        <v>21</v>
      </c>
      <c r="E8" s="1196">
        <v>21</v>
      </c>
      <c r="F8" s="1196">
        <v>22</v>
      </c>
      <c r="G8" s="1196">
        <v>22</v>
      </c>
      <c r="H8" s="1196">
        <v>23</v>
      </c>
      <c r="I8" s="1196">
        <v>23</v>
      </c>
      <c r="J8" s="1197" t="s">
        <v>697</v>
      </c>
      <c r="K8" s="1197" t="s">
        <v>697</v>
      </c>
      <c r="L8" s="1195" t="s">
        <v>1951</v>
      </c>
    </row>
    <row r="9" spans="1:12" ht="36.75" customHeight="1">
      <c r="B9" s="2257" t="s">
        <v>153</v>
      </c>
      <c r="C9" s="2257"/>
      <c r="D9" s="2257"/>
      <c r="E9" s="2257"/>
      <c r="F9" s="2257"/>
      <c r="G9" s="2257"/>
      <c r="H9" s="2257"/>
      <c r="I9" s="2257"/>
      <c r="J9" s="2280" t="s">
        <v>768</v>
      </c>
      <c r="K9" s="2280"/>
    </row>
    <row r="10" spans="1:12" ht="38.25" customHeight="1">
      <c r="B10" s="2281" t="s">
        <v>1952</v>
      </c>
      <c r="C10" s="2281"/>
      <c r="D10" s="2257" t="s">
        <v>1953</v>
      </c>
      <c r="E10" s="2257"/>
      <c r="F10" s="2257"/>
      <c r="G10" s="2257"/>
      <c r="H10" s="2257"/>
      <c r="I10" s="2257"/>
      <c r="J10" s="2280"/>
      <c r="K10" s="2280"/>
    </row>
    <row r="11" spans="1:12" ht="26.25" customHeight="1">
      <c r="B11" s="2282">
        <v>1</v>
      </c>
      <c r="C11" s="2282"/>
      <c r="D11" s="2257" t="s">
        <v>1954</v>
      </c>
      <c r="E11" s="2257"/>
      <c r="F11" s="2282" t="s">
        <v>1955</v>
      </c>
      <c r="G11" s="2282"/>
      <c r="H11" s="2283" t="s">
        <v>1956</v>
      </c>
      <c r="I11" s="2283"/>
      <c r="J11" s="2280"/>
      <c r="K11" s="2280"/>
    </row>
    <row r="12" spans="1:12" ht="24">
      <c r="B12" s="213" t="s">
        <v>1957</v>
      </c>
      <c r="C12" s="213" t="s">
        <v>1958</v>
      </c>
      <c r="D12" s="213" t="s">
        <v>1959</v>
      </c>
      <c r="E12" s="213" t="s">
        <v>1960</v>
      </c>
      <c r="F12" s="213" t="s">
        <v>1961</v>
      </c>
      <c r="G12" s="213" t="s">
        <v>1962</v>
      </c>
      <c r="H12" s="213" t="s">
        <v>1963</v>
      </c>
      <c r="I12" s="213" t="s">
        <v>1964</v>
      </c>
      <c r="J12" s="465" t="s">
        <v>707</v>
      </c>
      <c r="K12" s="465" t="s">
        <v>708</v>
      </c>
    </row>
    <row r="13" spans="1:12">
      <c r="A13" s="189" t="s">
        <v>1915</v>
      </c>
      <c r="B13" s="1190">
        <v>1</v>
      </c>
      <c r="C13" s="1190">
        <v>2</v>
      </c>
      <c r="D13" s="1190">
        <v>1</v>
      </c>
      <c r="E13" s="1190">
        <v>2</v>
      </c>
      <c r="F13" s="1190">
        <v>1</v>
      </c>
      <c r="G13" s="1190">
        <v>2</v>
      </c>
      <c r="H13" s="1188">
        <v>1</v>
      </c>
      <c r="I13" s="1188">
        <v>2</v>
      </c>
      <c r="J13" s="1188">
        <v>1</v>
      </c>
      <c r="K13" s="1188">
        <v>2</v>
      </c>
      <c r="L13" s="1188" t="s">
        <v>1307</v>
      </c>
    </row>
    <row r="14" spans="1:12">
      <c r="A14" s="181" t="s">
        <v>703</v>
      </c>
      <c r="B14" s="584">
        <v>3</v>
      </c>
      <c r="C14" s="584">
        <v>2</v>
      </c>
      <c r="D14" s="584">
        <v>0</v>
      </c>
      <c r="E14" s="584">
        <v>0</v>
      </c>
      <c r="F14" s="584">
        <v>0</v>
      </c>
      <c r="G14" s="584">
        <v>0</v>
      </c>
      <c r="H14" s="584">
        <v>0</v>
      </c>
      <c r="I14" s="584">
        <v>0</v>
      </c>
      <c r="J14" s="471">
        <f t="shared" ref="J14:K18" si="0">B14+D14+F14+H14</f>
        <v>3</v>
      </c>
      <c r="K14" s="471">
        <f t="shared" si="0"/>
        <v>2</v>
      </c>
      <c r="L14" s="1188" t="s">
        <v>1925</v>
      </c>
    </row>
    <row r="15" spans="1:12">
      <c r="A15" s="181" t="s">
        <v>704</v>
      </c>
      <c r="B15" s="584">
        <v>54</v>
      </c>
      <c r="C15" s="584">
        <v>71</v>
      </c>
      <c r="D15" s="584">
        <v>0</v>
      </c>
      <c r="E15" s="584">
        <v>0</v>
      </c>
      <c r="F15" s="584">
        <v>0</v>
      </c>
      <c r="G15" s="584">
        <v>3</v>
      </c>
      <c r="H15" s="584">
        <v>0</v>
      </c>
      <c r="I15" s="584">
        <v>1</v>
      </c>
      <c r="J15" s="471">
        <f t="shared" si="0"/>
        <v>54</v>
      </c>
      <c r="K15" s="471">
        <f t="shared" si="0"/>
        <v>75</v>
      </c>
      <c r="L15" s="1188" t="s">
        <v>1935</v>
      </c>
    </row>
    <row r="16" spans="1:12">
      <c r="A16" s="182" t="s">
        <v>1382</v>
      </c>
      <c r="B16" s="584"/>
      <c r="C16" s="584"/>
      <c r="D16" s="584"/>
      <c r="E16" s="584"/>
      <c r="F16" s="584"/>
      <c r="G16" s="584"/>
      <c r="H16" s="584"/>
      <c r="I16" s="584"/>
      <c r="J16" s="471">
        <f t="shared" si="0"/>
        <v>0</v>
      </c>
      <c r="K16" s="471">
        <f t="shared" si="0"/>
        <v>0</v>
      </c>
      <c r="L16" s="1188" t="s">
        <v>1939</v>
      </c>
    </row>
    <row r="17" spans="1:12">
      <c r="A17" s="181" t="s">
        <v>1383</v>
      </c>
      <c r="B17" s="584">
        <v>21</v>
      </c>
      <c r="C17" s="584">
        <v>98</v>
      </c>
      <c r="D17" s="584">
        <v>0</v>
      </c>
      <c r="E17" s="584">
        <v>0</v>
      </c>
      <c r="F17" s="584">
        <v>1</v>
      </c>
      <c r="G17" s="584">
        <v>11</v>
      </c>
      <c r="H17" s="584">
        <v>0</v>
      </c>
      <c r="I17" s="584">
        <v>2</v>
      </c>
      <c r="J17" s="471">
        <f t="shared" si="0"/>
        <v>22</v>
      </c>
      <c r="K17" s="471">
        <f t="shared" si="0"/>
        <v>111</v>
      </c>
      <c r="L17" s="1188" t="s">
        <v>1000</v>
      </c>
    </row>
    <row r="18" spans="1:12">
      <c r="A18" s="181" t="s">
        <v>1384</v>
      </c>
      <c r="B18" s="584">
        <v>159</v>
      </c>
      <c r="C18" s="584">
        <v>591</v>
      </c>
      <c r="D18" s="584">
        <v>0</v>
      </c>
      <c r="E18" s="584">
        <v>6</v>
      </c>
      <c r="F18" s="584">
        <v>1</v>
      </c>
      <c r="G18" s="584">
        <v>53</v>
      </c>
      <c r="H18" s="584">
        <v>1</v>
      </c>
      <c r="I18" s="584">
        <v>14</v>
      </c>
      <c r="J18" s="471">
        <f t="shared" si="0"/>
        <v>161</v>
      </c>
      <c r="K18" s="471">
        <f t="shared" si="0"/>
        <v>664</v>
      </c>
      <c r="L18" s="1188" t="s">
        <v>1851</v>
      </c>
    </row>
    <row r="19" spans="1:12">
      <c r="A19" s="464" t="s">
        <v>1915</v>
      </c>
      <c r="B19" s="471">
        <f t="shared" ref="B19:K19" si="1">SUM(B14:B18)</f>
        <v>237</v>
      </c>
      <c r="C19" s="471">
        <f t="shared" si="1"/>
        <v>762</v>
      </c>
      <c r="D19" s="471">
        <f t="shared" si="1"/>
        <v>0</v>
      </c>
      <c r="E19" s="471">
        <f t="shared" si="1"/>
        <v>6</v>
      </c>
      <c r="F19" s="471">
        <f t="shared" si="1"/>
        <v>2</v>
      </c>
      <c r="G19" s="471">
        <f t="shared" si="1"/>
        <v>67</v>
      </c>
      <c r="H19" s="471">
        <f t="shared" si="1"/>
        <v>1</v>
      </c>
      <c r="I19" s="471">
        <f t="shared" si="1"/>
        <v>17</v>
      </c>
      <c r="J19" s="471">
        <f t="shared" si="1"/>
        <v>240</v>
      </c>
      <c r="K19" s="471">
        <f t="shared" si="1"/>
        <v>852</v>
      </c>
      <c r="L19" s="1188" t="s">
        <v>1852</v>
      </c>
    </row>
    <row r="20" spans="1:12">
      <c r="A20" s="156" t="s">
        <v>673</v>
      </c>
    </row>
    <row r="21" spans="1:12">
      <c r="A21" s="182" t="s">
        <v>1323</v>
      </c>
      <c r="B21" s="584">
        <v>7</v>
      </c>
      <c r="C21" s="584">
        <v>7</v>
      </c>
      <c r="D21" s="584">
        <v>0</v>
      </c>
      <c r="E21" s="584">
        <v>0</v>
      </c>
      <c r="F21" s="584">
        <v>0</v>
      </c>
      <c r="G21" s="584">
        <v>0</v>
      </c>
      <c r="H21" s="584">
        <v>0</v>
      </c>
      <c r="I21" s="584">
        <v>0</v>
      </c>
      <c r="J21" s="471">
        <f>B21+D21+F21+H21</f>
        <v>7</v>
      </c>
      <c r="K21" s="471">
        <f>C21+E21+G21+I21</f>
        <v>7</v>
      </c>
      <c r="L21" s="1188" t="s">
        <v>1248</v>
      </c>
    </row>
    <row r="22" spans="1:12">
      <c r="A22" s="182" t="s">
        <v>705</v>
      </c>
      <c r="B22" s="584">
        <v>22</v>
      </c>
      <c r="C22" s="584">
        <v>7</v>
      </c>
      <c r="D22" s="584">
        <v>0</v>
      </c>
      <c r="E22" s="584">
        <v>0</v>
      </c>
      <c r="F22" s="584">
        <v>1</v>
      </c>
      <c r="G22" s="584">
        <v>3</v>
      </c>
      <c r="H22" s="584">
        <v>0</v>
      </c>
      <c r="I22" s="584">
        <v>1</v>
      </c>
      <c r="J22" s="471">
        <f t="shared" ref="J22:K26" si="2">B22+D22+F22+H22</f>
        <v>23</v>
      </c>
      <c r="K22" s="471">
        <f t="shared" si="2"/>
        <v>11</v>
      </c>
      <c r="L22" s="1188" t="s">
        <v>1775</v>
      </c>
    </row>
    <row r="23" spans="1:12">
      <c r="A23" s="182" t="s">
        <v>1966</v>
      </c>
      <c r="B23" s="584">
        <v>50</v>
      </c>
      <c r="C23" s="584">
        <v>10</v>
      </c>
      <c r="D23" s="584">
        <v>0</v>
      </c>
      <c r="E23" s="584">
        <v>0</v>
      </c>
      <c r="F23" s="584">
        <v>1</v>
      </c>
      <c r="G23" s="584">
        <v>0</v>
      </c>
      <c r="H23" s="584">
        <v>0</v>
      </c>
      <c r="I23" s="584">
        <v>1</v>
      </c>
      <c r="J23" s="471">
        <f t="shared" si="2"/>
        <v>51</v>
      </c>
      <c r="K23" s="471">
        <f t="shared" si="2"/>
        <v>11</v>
      </c>
      <c r="L23" s="1188" t="s">
        <v>2200</v>
      </c>
    </row>
    <row r="24" spans="1:12">
      <c r="A24" s="182" t="s">
        <v>1385</v>
      </c>
      <c r="B24" s="584">
        <v>332</v>
      </c>
      <c r="C24" s="584">
        <v>93</v>
      </c>
      <c r="D24" s="584">
        <v>1</v>
      </c>
      <c r="E24" s="584">
        <v>0</v>
      </c>
      <c r="F24" s="584">
        <v>1</v>
      </c>
      <c r="G24" s="584">
        <v>3</v>
      </c>
      <c r="H24" s="584">
        <v>1</v>
      </c>
      <c r="I24" s="584">
        <v>5</v>
      </c>
      <c r="J24" s="471">
        <f t="shared" si="2"/>
        <v>335</v>
      </c>
      <c r="K24" s="471">
        <f t="shared" si="2"/>
        <v>101</v>
      </c>
      <c r="L24" s="1188" t="s">
        <v>2208</v>
      </c>
    </row>
    <row r="25" spans="1:12">
      <c r="A25" s="182" t="s">
        <v>1166</v>
      </c>
      <c r="B25" s="584">
        <v>398</v>
      </c>
      <c r="C25" s="584">
        <v>592</v>
      </c>
      <c r="D25" s="584">
        <v>0</v>
      </c>
      <c r="E25" s="584">
        <v>3</v>
      </c>
      <c r="F25" s="584">
        <v>1</v>
      </c>
      <c r="G25" s="584">
        <v>23</v>
      </c>
      <c r="H25" s="584">
        <v>0</v>
      </c>
      <c r="I25" s="584">
        <v>51</v>
      </c>
      <c r="J25" s="471">
        <f t="shared" si="2"/>
        <v>399</v>
      </c>
      <c r="K25" s="471">
        <f t="shared" si="2"/>
        <v>669</v>
      </c>
      <c r="L25" s="1188" t="s">
        <v>1242</v>
      </c>
    </row>
    <row r="26" spans="1:12">
      <c r="A26" s="182" t="s">
        <v>1310</v>
      </c>
      <c r="B26" s="584"/>
      <c r="C26" s="584"/>
      <c r="D26" s="584"/>
      <c r="E26" s="584"/>
      <c r="F26" s="584"/>
      <c r="G26" s="584"/>
      <c r="H26" s="584"/>
      <c r="I26" s="584"/>
      <c r="J26" s="471">
        <f t="shared" si="2"/>
        <v>0</v>
      </c>
      <c r="K26" s="471">
        <f t="shared" si="2"/>
        <v>0</v>
      </c>
      <c r="L26" s="1188" t="s">
        <v>1779</v>
      </c>
    </row>
    <row r="27" spans="1:12">
      <c r="A27" s="464" t="s">
        <v>673</v>
      </c>
      <c r="B27" s="471">
        <f>SUM(B21:B26)</f>
        <v>809</v>
      </c>
      <c r="C27" s="471">
        <f t="shared" ref="C27:K27" si="3">SUM(C21:C26)</f>
        <v>709</v>
      </c>
      <c r="D27" s="471">
        <f t="shared" si="3"/>
        <v>1</v>
      </c>
      <c r="E27" s="471">
        <f t="shared" si="3"/>
        <v>3</v>
      </c>
      <c r="F27" s="471">
        <f t="shared" si="3"/>
        <v>4</v>
      </c>
      <c r="G27" s="471">
        <f t="shared" si="3"/>
        <v>29</v>
      </c>
      <c r="H27" s="471">
        <f t="shared" si="3"/>
        <v>1</v>
      </c>
      <c r="I27" s="471">
        <f t="shared" si="3"/>
        <v>58</v>
      </c>
      <c r="J27" s="471">
        <f t="shared" si="3"/>
        <v>815</v>
      </c>
      <c r="K27" s="471">
        <f t="shared" si="3"/>
        <v>799</v>
      </c>
      <c r="L27" s="1188" t="s">
        <v>1249</v>
      </c>
    </row>
    <row r="28" spans="1:12">
      <c r="A28" s="183" t="s">
        <v>1250</v>
      </c>
    </row>
    <row r="29" spans="1:12">
      <c r="A29" s="181" t="s">
        <v>1311</v>
      </c>
      <c r="B29" s="584"/>
      <c r="C29" s="584"/>
      <c r="D29" s="584"/>
      <c r="E29" s="584"/>
      <c r="F29" s="584"/>
      <c r="G29" s="584"/>
      <c r="H29" s="584"/>
      <c r="I29" s="584"/>
      <c r="J29" s="471">
        <f t="shared" ref="J29:J37" si="4">B29+D29+F29+H29</f>
        <v>0</v>
      </c>
      <c r="K29" s="471">
        <f t="shared" ref="K29:K37" si="5">C29+E29+G29+I29</f>
        <v>0</v>
      </c>
      <c r="L29" s="1188" t="s">
        <v>1258</v>
      </c>
    </row>
    <row r="30" spans="1:12">
      <c r="A30" s="182" t="s">
        <v>1312</v>
      </c>
      <c r="B30" s="584">
        <v>1</v>
      </c>
      <c r="C30" s="584">
        <v>0</v>
      </c>
      <c r="D30" s="584">
        <v>0</v>
      </c>
      <c r="E30" s="584">
        <v>1</v>
      </c>
      <c r="F30" s="584">
        <v>0</v>
      </c>
      <c r="G30" s="584">
        <v>0</v>
      </c>
      <c r="H30" s="584">
        <v>0</v>
      </c>
      <c r="I30" s="584">
        <v>0</v>
      </c>
      <c r="J30" s="471">
        <f t="shared" si="4"/>
        <v>1</v>
      </c>
      <c r="K30" s="471">
        <f t="shared" si="5"/>
        <v>1</v>
      </c>
      <c r="L30" s="1188" t="s">
        <v>1263</v>
      </c>
    </row>
    <row r="31" spans="1:12">
      <c r="A31" s="182" t="s">
        <v>1313</v>
      </c>
      <c r="B31" s="584">
        <v>2</v>
      </c>
      <c r="C31" s="584">
        <v>2</v>
      </c>
      <c r="D31" s="584">
        <v>0</v>
      </c>
      <c r="E31" s="584">
        <v>0</v>
      </c>
      <c r="F31" s="584">
        <v>0</v>
      </c>
      <c r="G31" s="584">
        <v>0</v>
      </c>
      <c r="H31" s="584">
        <v>0</v>
      </c>
      <c r="I31" s="584">
        <v>1</v>
      </c>
      <c r="J31" s="471">
        <f t="shared" si="4"/>
        <v>2</v>
      </c>
      <c r="K31" s="471">
        <f t="shared" si="5"/>
        <v>3</v>
      </c>
      <c r="L31" s="1188" t="s">
        <v>965</v>
      </c>
    </row>
    <row r="32" spans="1:12">
      <c r="A32" s="182" t="s">
        <v>1314</v>
      </c>
      <c r="B32" s="584">
        <v>3</v>
      </c>
      <c r="C32" s="584">
        <v>5</v>
      </c>
      <c r="D32" s="584">
        <v>0</v>
      </c>
      <c r="E32" s="584">
        <v>0</v>
      </c>
      <c r="F32" s="584">
        <v>0</v>
      </c>
      <c r="G32" s="584">
        <v>0</v>
      </c>
      <c r="H32" s="584">
        <v>0</v>
      </c>
      <c r="I32" s="584">
        <v>1</v>
      </c>
      <c r="J32" s="471">
        <f t="shared" si="4"/>
        <v>3</v>
      </c>
      <c r="K32" s="471">
        <f t="shared" si="5"/>
        <v>6</v>
      </c>
      <c r="L32" s="1188" t="s">
        <v>971</v>
      </c>
    </row>
    <row r="33" spans="1:12">
      <c r="A33" s="182" t="s">
        <v>751</v>
      </c>
      <c r="B33" s="584">
        <v>1</v>
      </c>
      <c r="C33" s="584">
        <v>0</v>
      </c>
      <c r="D33" s="584">
        <v>0</v>
      </c>
      <c r="E33" s="584">
        <v>0</v>
      </c>
      <c r="F33" s="584">
        <v>0</v>
      </c>
      <c r="G33" s="584">
        <v>0</v>
      </c>
      <c r="H33" s="584">
        <v>0</v>
      </c>
      <c r="I33" s="584">
        <v>0</v>
      </c>
      <c r="J33" s="471">
        <f t="shared" si="4"/>
        <v>1</v>
      </c>
      <c r="K33" s="471">
        <f t="shared" si="5"/>
        <v>0</v>
      </c>
      <c r="L33" s="1188" t="s">
        <v>1495</v>
      </c>
    </row>
    <row r="34" spans="1:12">
      <c r="A34" s="182" t="s">
        <v>752</v>
      </c>
      <c r="B34" s="584">
        <v>39</v>
      </c>
      <c r="C34" s="584">
        <v>40</v>
      </c>
      <c r="D34" s="584">
        <v>0</v>
      </c>
      <c r="E34" s="584">
        <v>0</v>
      </c>
      <c r="F34" s="584">
        <v>0</v>
      </c>
      <c r="G34" s="584">
        <v>0</v>
      </c>
      <c r="H34" s="584">
        <v>0</v>
      </c>
      <c r="I34" s="584">
        <v>0</v>
      </c>
      <c r="J34" s="471">
        <f t="shared" si="4"/>
        <v>39</v>
      </c>
      <c r="K34" s="471">
        <f t="shared" si="5"/>
        <v>40</v>
      </c>
      <c r="L34" s="1188" t="s">
        <v>425</v>
      </c>
    </row>
    <row r="35" spans="1:12">
      <c r="A35" s="182" t="s">
        <v>1025</v>
      </c>
      <c r="B35" s="584">
        <v>7</v>
      </c>
      <c r="C35" s="584">
        <v>22</v>
      </c>
      <c r="D35" s="584">
        <v>0</v>
      </c>
      <c r="E35" s="584">
        <v>0</v>
      </c>
      <c r="F35" s="584">
        <v>1</v>
      </c>
      <c r="G35" s="584">
        <v>6</v>
      </c>
      <c r="H35" s="584">
        <v>0</v>
      </c>
      <c r="I35" s="584">
        <v>4</v>
      </c>
      <c r="J35" s="471">
        <f t="shared" si="4"/>
        <v>8</v>
      </c>
      <c r="K35" s="471">
        <f t="shared" si="5"/>
        <v>32</v>
      </c>
      <c r="L35" s="1188" t="s">
        <v>71</v>
      </c>
    </row>
    <row r="36" spans="1:12">
      <c r="A36" s="182" t="s">
        <v>1026</v>
      </c>
      <c r="B36" s="584">
        <v>8</v>
      </c>
      <c r="C36" s="584">
        <v>15</v>
      </c>
      <c r="D36" s="584">
        <v>0</v>
      </c>
      <c r="E36" s="584">
        <v>0</v>
      </c>
      <c r="F36" s="584">
        <v>0</v>
      </c>
      <c r="G36" s="584">
        <v>1</v>
      </c>
      <c r="H36" s="584">
        <v>0</v>
      </c>
      <c r="I36" s="584">
        <v>0</v>
      </c>
      <c r="J36" s="471">
        <f t="shared" si="4"/>
        <v>8</v>
      </c>
      <c r="K36" s="471">
        <f t="shared" si="5"/>
        <v>16</v>
      </c>
      <c r="L36" s="1188" t="s">
        <v>366</v>
      </c>
    </row>
    <row r="37" spans="1:12">
      <c r="A37" s="182" t="s">
        <v>1027</v>
      </c>
      <c r="B37" s="584">
        <v>24</v>
      </c>
      <c r="C37" s="584">
        <v>53</v>
      </c>
      <c r="D37" s="584">
        <v>0</v>
      </c>
      <c r="E37" s="584">
        <v>3</v>
      </c>
      <c r="F37" s="584">
        <v>1</v>
      </c>
      <c r="G37" s="584">
        <v>11</v>
      </c>
      <c r="H37" s="584">
        <v>0</v>
      </c>
      <c r="I37" s="584">
        <v>0</v>
      </c>
      <c r="J37" s="471">
        <f t="shared" si="4"/>
        <v>25</v>
      </c>
      <c r="K37" s="471">
        <f t="shared" si="5"/>
        <v>67</v>
      </c>
      <c r="L37" s="1188" t="s">
        <v>374</v>
      </c>
    </row>
    <row r="38" spans="1:12">
      <c r="A38" s="466" t="s">
        <v>1250</v>
      </c>
      <c r="B38" s="471">
        <f t="shared" ref="B38:K38" si="6">SUM(B29:B37)</f>
        <v>85</v>
      </c>
      <c r="C38" s="471">
        <f t="shared" si="6"/>
        <v>137</v>
      </c>
      <c r="D38" s="471">
        <f t="shared" si="6"/>
        <v>0</v>
      </c>
      <c r="E38" s="471">
        <f t="shared" si="6"/>
        <v>4</v>
      </c>
      <c r="F38" s="471">
        <f t="shared" si="6"/>
        <v>2</v>
      </c>
      <c r="G38" s="471">
        <f t="shared" si="6"/>
        <v>18</v>
      </c>
      <c r="H38" s="471">
        <f t="shared" si="6"/>
        <v>0</v>
      </c>
      <c r="I38" s="471">
        <f t="shared" si="6"/>
        <v>6</v>
      </c>
      <c r="J38" s="471">
        <f t="shared" si="6"/>
        <v>87</v>
      </c>
      <c r="K38" s="471">
        <f t="shared" si="6"/>
        <v>165</v>
      </c>
      <c r="L38" s="1188" t="s">
        <v>375</v>
      </c>
    </row>
    <row r="39" spans="1:12">
      <c r="A39" s="183" t="s">
        <v>376</v>
      </c>
    </row>
    <row r="40" spans="1:12">
      <c r="A40" s="184" t="s">
        <v>1109</v>
      </c>
      <c r="B40" s="584">
        <v>3</v>
      </c>
      <c r="C40" s="584">
        <v>0</v>
      </c>
      <c r="D40" s="584">
        <v>0</v>
      </c>
      <c r="E40" s="584">
        <v>0</v>
      </c>
      <c r="F40" s="584">
        <v>0</v>
      </c>
      <c r="G40" s="584">
        <v>0</v>
      </c>
      <c r="H40" s="584">
        <v>0</v>
      </c>
      <c r="I40" s="584">
        <v>0</v>
      </c>
      <c r="J40" s="471">
        <f t="shared" ref="J40:K42" si="7">B40+D40+F40+H40</f>
        <v>3</v>
      </c>
      <c r="K40" s="471">
        <f t="shared" si="7"/>
        <v>0</v>
      </c>
      <c r="L40" s="1188" t="s">
        <v>383</v>
      </c>
    </row>
    <row r="41" spans="1:12">
      <c r="A41" s="184" t="s">
        <v>1110</v>
      </c>
      <c r="B41" s="584">
        <v>46</v>
      </c>
      <c r="C41" s="584">
        <v>19</v>
      </c>
      <c r="D41" s="584">
        <v>0</v>
      </c>
      <c r="E41" s="584">
        <v>0</v>
      </c>
      <c r="F41" s="584">
        <v>1</v>
      </c>
      <c r="G41" s="584">
        <v>2</v>
      </c>
      <c r="H41" s="584">
        <v>0</v>
      </c>
      <c r="I41" s="584">
        <v>1</v>
      </c>
      <c r="J41" s="471">
        <f t="shared" si="7"/>
        <v>47</v>
      </c>
      <c r="K41" s="471">
        <f t="shared" si="7"/>
        <v>22</v>
      </c>
      <c r="L41" s="1188" t="s">
        <v>1185</v>
      </c>
    </row>
    <row r="42" spans="1:12">
      <c r="A42" s="184" t="s">
        <v>1111</v>
      </c>
      <c r="B42" s="584">
        <v>8</v>
      </c>
      <c r="C42" s="584">
        <v>1</v>
      </c>
      <c r="D42" s="584">
        <v>0</v>
      </c>
      <c r="E42" s="584">
        <v>0</v>
      </c>
      <c r="F42" s="584">
        <v>0</v>
      </c>
      <c r="G42" s="584">
        <v>0</v>
      </c>
      <c r="H42" s="584">
        <v>0</v>
      </c>
      <c r="I42" s="584">
        <v>0</v>
      </c>
      <c r="J42" s="471">
        <f t="shared" si="7"/>
        <v>8</v>
      </c>
      <c r="K42" s="471">
        <f t="shared" si="7"/>
        <v>1</v>
      </c>
      <c r="L42" s="1188" t="s">
        <v>1193</v>
      </c>
    </row>
    <row r="43" spans="1:12">
      <c r="A43" s="467" t="s">
        <v>376</v>
      </c>
      <c r="B43" s="471">
        <f t="shared" ref="B43:K43" si="8">SUM(B40:B42)</f>
        <v>57</v>
      </c>
      <c r="C43" s="471">
        <f t="shared" si="8"/>
        <v>20</v>
      </c>
      <c r="D43" s="471">
        <f t="shared" si="8"/>
        <v>0</v>
      </c>
      <c r="E43" s="471">
        <f t="shared" si="8"/>
        <v>0</v>
      </c>
      <c r="F43" s="471">
        <f t="shared" si="8"/>
        <v>1</v>
      </c>
      <c r="G43" s="471">
        <f t="shared" si="8"/>
        <v>2</v>
      </c>
      <c r="H43" s="471">
        <f t="shared" si="8"/>
        <v>0</v>
      </c>
      <c r="I43" s="471">
        <f t="shared" si="8"/>
        <v>1</v>
      </c>
      <c r="J43" s="471">
        <f t="shared" si="8"/>
        <v>58</v>
      </c>
      <c r="K43" s="471">
        <f t="shared" si="8"/>
        <v>23</v>
      </c>
      <c r="L43" s="1188" t="s">
        <v>1194</v>
      </c>
    </row>
    <row r="44" spans="1:12">
      <c r="A44" s="157" t="s">
        <v>1195</v>
      </c>
    </row>
    <row r="45" spans="1:12">
      <c r="A45" s="184" t="s">
        <v>1112</v>
      </c>
      <c r="B45" s="584"/>
      <c r="C45" s="584"/>
      <c r="D45" s="584"/>
      <c r="E45" s="584"/>
      <c r="F45" s="584"/>
      <c r="G45" s="584"/>
      <c r="H45" s="584"/>
      <c r="I45" s="584"/>
      <c r="J45" s="471">
        <f t="shared" ref="J45:J50" si="9">B45+D45+F45+H45</f>
        <v>0</v>
      </c>
      <c r="K45" s="471">
        <f t="shared" ref="K45:K50" si="10">C45+E45+G45+I45</f>
        <v>0</v>
      </c>
      <c r="L45" s="1188" t="s">
        <v>1203</v>
      </c>
    </row>
    <row r="46" spans="1:12">
      <c r="A46" s="184" t="s">
        <v>1113</v>
      </c>
      <c r="B46" s="584">
        <v>0</v>
      </c>
      <c r="C46" s="584">
        <v>1</v>
      </c>
      <c r="D46" s="584">
        <v>0</v>
      </c>
      <c r="E46" s="584">
        <v>0</v>
      </c>
      <c r="F46" s="584">
        <v>0</v>
      </c>
      <c r="G46" s="584">
        <v>3</v>
      </c>
      <c r="H46" s="584">
        <v>0</v>
      </c>
      <c r="I46" s="584">
        <v>0</v>
      </c>
      <c r="J46" s="471">
        <f t="shared" si="9"/>
        <v>0</v>
      </c>
      <c r="K46" s="471">
        <f t="shared" si="10"/>
        <v>4</v>
      </c>
      <c r="L46" s="1188" t="s">
        <v>1395</v>
      </c>
    </row>
    <row r="47" spans="1:12">
      <c r="A47" s="184" t="s">
        <v>1114</v>
      </c>
      <c r="B47" s="584">
        <v>1</v>
      </c>
      <c r="C47" s="584">
        <v>41</v>
      </c>
      <c r="D47" s="584">
        <v>0</v>
      </c>
      <c r="E47" s="584">
        <v>0</v>
      </c>
      <c r="F47" s="584">
        <v>0</v>
      </c>
      <c r="G47" s="584">
        <v>4</v>
      </c>
      <c r="H47" s="584">
        <v>0</v>
      </c>
      <c r="I47" s="584">
        <v>3</v>
      </c>
      <c r="J47" s="471">
        <f t="shared" si="9"/>
        <v>1</v>
      </c>
      <c r="K47" s="471">
        <f t="shared" si="10"/>
        <v>48</v>
      </c>
      <c r="L47" s="1188" t="s">
        <v>1396</v>
      </c>
    </row>
    <row r="48" spans="1:12">
      <c r="A48" s="184" t="s">
        <v>1945</v>
      </c>
      <c r="B48" s="584">
        <v>0</v>
      </c>
      <c r="C48" s="584">
        <v>2</v>
      </c>
      <c r="D48" s="584">
        <v>0</v>
      </c>
      <c r="E48" s="584">
        <v>0</v>
      </c>
      <c r="F48" s="584">
        <v>0</v>
      </c>
      <c r="G48" s="584">
        <v>0</v>
      </c>
      <c r="H48" s="584">
        <v>0</v>
      </c>
      <c r="I48" s="584">
        <v>0</v>
      </c>
      <c r="J48" s="471">
        <f t="shared" si="9"/>
        <v>0</v>
      </c>
      <c r="K48" s="471">
        <f t="shared" si="10"/>
        <v>2</v>
      </c>
      <c r="L48" s="1188" t="s">
        <v>1344</v>
      </c>
    </row>
    <row r="49" spans="1:12">
      <c r="A49" s="185" t="s">
        <v>1946</v>
      </c>
      <c r="B49" s="584">
        <v>0</v>
      </c>
      <c r="C49" s="584">
        <v>215</v>
      </c>
      <c r="D49" s="584">
        <v>0</v>
      </c>
      <c r="E49" s="584">
        <v>0</v>
      </c>
      <c r="F49" s="584">
        <v>0</v>
      </c>
      <c r="G49" s="584">
        <v>19</v>
      </c>
      <c r="H49" s="584">
        <v>0</v>
      </c>
      <c r="I49" s="584">
        <v>103</v>
      </c>
      <c r="J49" s="471">
        <f t="shared" si="9"/>
        <v>0</v>
      </c>
      <c r="K49" s="471">
        <f t="shared" si="10"/>
        <v>337</v>
      </c>
      <c r="L49" s="1188" t="s">
        <v>1350</v>
      </c>
    </row>
    <row r="50" spans="1:12">
      <c r="A50" s="184" t="s">
        <v>1947</v>
      </c>
      <c r="B50" s="584"/>
      <c r="C50" s="584"/>
      <c r="D50" s="584"/>
      <c r="E50" s="584"/>
      <c r="F50" s="584"/>
      <c r="G50" s="584"/>
      <c r="H50" s="584"/>
      <c r="I50" s="584"/>
      <c r="J50" s="471">
        <f t="shared" si="9"/>
        <v>0</v>
      </c>
      <c r="K50" s="471">
        <f t="shared" si="10"/>
        <v>0</v>
      </c>
      <c r="L50" s="1188" t="s">
        <v>1572</v>
      </c>
    </row>
    <row r="51" spans="1:12">
      <c r="A51" s="468" t="s">
        <v>1195</v>
      </c>
      <c r="B51" s="471">
        <f t="shared" ref="B51:K51" si="11">SUM(B45:B50)</f>
        <v>1</v>
      </c>
      <c r="C51" s="471">
        <f t="shared" si="11"/>
        <v>259</v>
      </c>
      <c r="D51" s="471">
        <f t="shared" si="11"/>
        <v>0</v>
      </c>
      <c r="E51" s="471">
        <f t="shared" si="11"/>
        <v>0</v>
      </c>
      <c r="F51" s="471">
        <f t="shared" si="11"/>
        <v>0</v>
      </c>
      <c r="G51" s="471">
        <f t="shared" si="11"/>
        <v>26</v>
      </c>
      <c r="H51" s="471">
        <f t="shared" si="11"/>
        <v>0</v>
      </c>
      <c r="I51" s="471">
        <f t="shared" si="11"/>
        <v>106</v>
      </c>
      <c r="J51" s="471">
        <f t="shared" si="11"/>
        <v>1</v>
      </c>
      <c r="K51" s="471">
        <f t="shared" si="11"/>
        <v>391</v>
      </c>
      <c r="L51" s="1188" t="s">
        <v>1573</v>
      </c>
    </row>
    <row r="52" spans="1:12">
      <c r="A52" s="158" t="s">
        <v>1574</v>
      </c>
    </row>
    <row r="53" spans="1:12">
      <c r="A53" s="184" t="s">
        <v>1948</v>
      </c>
      <c r="B53" s="584">
        <v>1</v>
      </c>
      <c r="C53" s="584">
        <v>1</v>
      </c>
      <c r="D53" s="584">
        <v>0</v>
      </c>
      <c r="E53" s="584">
        <v>0</v>
      </c>
      <c r="F53" s="584">
        <v>0</v>
      </c>
      <c r="G53" s="584">
        <v>0</v>
      </c>
      <c r="H53" s="584">
        <v>0</v>
      </c>
      <c r="I53" s="584">
        <v>0</v>
      </c>
      <c r="J53" s="471">
        <f t="shared" ref="J53:J63" si="12">B53+D53+F53+H53</f>
        <v>1</v>
      </c>
      <c r="K53" s="471">
        <f t="shared" ref="K53:K63" si="13">C53+E53+G53+I53</f>
        <v>1</v>
      </c>
      <c r="L53" s="1188" t="s">
        <v>1583</v>
      </c>
    </row>
    <row r="54" spans="1:12">
      <c r="A54" s="184" t="s">
        <v>1949</v>
      </c>
      <c r="B54" s="584">
        <v>0</v>
      </c>
      <c r="C54" s="584">
        <v>2</v>
      </c>
      <c r="D54" s="584">
        <v>0</v>
      </c>
      <c r="E54" s="584">
        <v>0</v>
      </c>
      <c r="F54" s="584">
        <v>0</v>
      </c>
      <c r="G54" s="584">
        <v>0</v>
      </c>
      <c r="H54" s="584">
        <v>0</v>
      </c>
      <c r="I54" s="584">
        <v>0</v>
      </c>
      <c r="J54" s="471">
        <f t="shared" si="12"/>
        <v>0</v>
      </c>
      <c r="K54" s="471">
        <f t="shared" si="13"/>
        <v>2</v>
      </c>
      <c r="L54" s="1188" t="s">
        <v>1589</v>
      </c>
    </row>
    <row r="55" spans="1:12">
      <c r="A55" s="184" t="s">
        <v>1950</v>
      </c>
      <c r="B55" s="584"/>
      <c r="C55" s="584"/>
      <c r="D55" s="584"/>
      <c r="E55" s="584"/>
      <c r="F55" s="584"/>
      <c r="G55" s="584"/>
      <c r="H55" s="584"/>
      <c r="I55" s="584"/>
      <c r="J55" s="471">
        <f t="shared" si="12"/>
        <v>0</v>
      </c>
      <c r="K55" s="471">
        <f t="shared" si="13"/>
        <v>0</v>
      </c>
      <c r="L55" s="1188" t="s">
        <v>1594</v>
      </c>
    </row>
    <row r="56" spans="1:12">
      <c r="A56" s="184" t="s">
        <v>2232</v>
      </c>
      <c r="B56" s="584">
        <v>0</v>
      </c>
      <c r="C56" s="584">
        <v>10</v>
      </c>
      <c r="D56" s="584">
        <v>0</v>
      </c>
      <c r="E56" s="584">
        <v>0</v>
      </c>
      <c r="F56" s="584">
        <v>0</v>
      </c>
      <c r="G56" s="584">
        <v>0</v>
      </c>
      <c r="H56" s="584">
        <v>0</v>
      </c>
      <c r="I56" s="584">
        <v>1</v>
      </c>
      <c r="J56" s="471">
        <f t="shared" si="12"/>
        <v>0</v>
      </c>
      <c r="K56" s="471">
        <f t="shared" si="13"/>
        <v>11</v>
      </c>
      <c r="L56" s="1188" t="s">
        <v>1791</v>
      </c>
    </row>
    <row r="57" spans="1:12">
      <c r="A57" s="184" t="s">
        <v>141</v>
      </c>
      <c r="B57" s="584"/>
      <c r="C57" s="584"/>
      <c r="D57" s="584"/>
      <c r="E57" s="584"/>
      <c r="F57" s="584"/>
      <c r="G57" s="584"/>
      <c r="H57" s="584"/>
      <c r="I57" s="584"/>
      <c r="J57" s="471">
        <f t="shared" si="12"/>
        <v>0</v>
      </c>
      <c r="K57" s="471">
        <f t="shared" si="13"/>
        <v>0</v>
      </c>
      <c r="L57" s="1188" t="s">
        <v>1600</v>
      </c>
    </row>
    <row r="58" spans="1:12">
      <c r="A58" s="184" t="s">
        <v>1433</v>
      </c>
      <c r="B58" s="584">
        <v>0</v>
      </c>
      <c r="C58" s="584">
        <v>18</v>
      </c>
      <c r="D58" s="584">
        <v>0</v>
      </c>
      <c r="E58" s="584">
        <v>0</v>
      </c>
      <c r="F58" s="584">
        <v>0</v>
      </c>
      <c r="G58" s="584">
        <v>2</v>
      </c>
      <c r="H58" s="584">
        <v>0</v>
      </c>
      <c r="I58" s="584">
        <v>2</v>
      </c>
      <c r="J58" s="471">
        <f t="shared" si="12"/>
        <v>0</v>
      </c>
      <c r="K58" s="471">
        <f t="shared" si="13"/>
        <v>22</v>
      </c>
      <c r="L58" s="1188" t="s">
        <v>723</v>
      </c>
    </row>
    <row r="59" spans="1:12">
      <c r="A59" s="184" t="s">
        <v>1895</v>
      </c>
      <c r="B59" s="584"/>
      <c r="C59" s="584"/>
      <c r="D59" s="584"/>
      <c r="E59" s="584"/>
      <c r="F59" s="584"/>
      <c r="G59" s="584"/>
      <c r="H59" s="584"/>
      <c r="I59" s="584"/>
      <c r="J59" s="471">
        <f t="shared" si="12"/>
        <v>0</v>
      </c>
      <c r="K59" s="471">
        <f t="shared" si="13"/>
        <v>0</v>
      </c>
      <c r="L59" s="1188" t="s">
        <v>419</v>
      </c>
    </row>
    <row r="60" spans="1:12">
      <c r="A60" s="184" t="s">
        <v>1053</v>
      </c>
      <c r="B60" s="584">
        <v>0</v>
      </c>
      <c r="C60" s="584">
        <v>8</v>
      </c>
      <c r="D60" s="584">
        <v>0</v>
      </c>
      <c r="E60" s="584">
        <v>3</v>
      </c>
      <c r="F60" s="584">
        <v>0</v>
      </c>
      <c r="G60" s="584">
        <v>0</v>
      </c>
      <c r="H60" s="584">
        <v>0</v>
      </c>
      <c r="I60" s="584">
        <v>2</v>
      </c>
      <c r="J60" s="471">
        <f t="shared" si="12"/>
        <v>0</v>
      </c>
      <c r="K60" s="471">
        <f t="shared" si="13"/>
        <v>13</v>
      </c>
      <c r="L60" s="1188" t="s">
        <v>867</v>
      </c>
    </row>
    <row r="61" spans="1:12">
      <c r="A61" s="186" t="s">
        <v>1896</v>
      </c>
      <c r="B61" s="584"/>
      <c r="C61" s="584"/>
      <c r="D61" s="584"/>
      <c r="E61" s="584"/>
      <c r="F61" s="584"/>
      <c r="G61" s="584"/>
      <c r="H61" s="584"/>
      <c r="I61" s="584"/>
      <c r="J61" s="471">
        <f t="shared" si="12"/>
        <v>0</v>
      </c>
      <c r="K61" s="471">
        <f t="shared" si="13"/>
        <v>0</v>
      </c>
      <c r="L61" s="1188" t="s">
        <v>2113</v>
      </c>
    </row>
    <row r="62" spans="1:12">
      <c r="A62" s="184" t="s">
        <v>1897</v>
      </c>
      <c r="B62" s="584">
        <v>3</v>
      </c>
      <c r="C62" s="584">
        <v>213</v>
      </c>
      <c r="D62" s="584">
        <v>0</v>
      </c>
      <c r="E62" s="584">
        <v>1</v>
      </c>
      <c r="F62" s="584">
        <v>0</v>
      </c>
      <c r="G62" s="584">
        <v>25</v>
      </c>
      <c r="H62" s="584">
        <v>0</v>
      </c>
      <c r="I62" s="584">
        <v>3</v>
      </c>
      <c r="J62" s="471">
        <f t="shared" si="12"/>
        <v>3</v>
      </c>
      <c r="K62" s="471">
        <f t="shared" si="13"/>
        <v>242</v>
      </c>
      <c r="L62" s="1188" t="s">
        <v>2119</v>
      </c>
    </row>
    <row r="63" spans="1:12">
      <c r="A63" s="184" t="s">
        <v>1898</v>
      </c>
      <c r="B63" s="584"/>
      <c r="C63" s="584"/>
      <c r="D63" s="584"/>
      <c r="E63" s="584"/>
      <c r="F63" s="584"/>
      <c r="G63" s="584"/>
      <c r="H63" s="584"/>
      <c r="I63" s="584"/>
      <c r="J63" s="471">
        <f t="shared" si="12"/>
        <v>0</v>
      </c>
      <c r="K63" s="471">
        <f t="shared" si="13"/>
        <v>0</v>
      </c>
      <c r="L63" s="1188" t="s">
        <v>2125</v>
      </c>
    </row>
    <row r="64" spans="1:12">
      <c r="A64" s="468" t="s">
        <v>1574</v>
      </c>
      <c r="B64" s="471">
        <f t="shared" ref="B64:K64" si="14">SUM(B53:B63)</f>
        <v>4</v>
      </c>
      <c r="C64" s="471">
        <f t="shared" si="14"/>
        <v>252</v>
      </c>
      <c r="D64" s="471">
        <f t="shared" si="14"/>
        <v>0</v>
      </c>
      <c r="E64" s="471">
        <f t="shared" si="14"/>
        <v>4</v>
      </c>
      <c r="F64" s="471">
        <f t="shared" si="14"/>
        <v>0</v>
      </c>
      <c r="G64" s="471">
        <f t="shared" si="14"/>
        <v>27</v>
      </c>
      <c r="H64" s="471">
        <f t="shared" si="14"/>
        <v>0</v>
      </c>
      <c r="I64" s="471">
        <f t="shared" si="14"/>
        <v>8</v>
      </c>
      <c r="J64" s="471">
        <f t="shared" si="14"/>
        <v>4</v>
      </c>
      <c r="K64" s="471">
        <f t="shared" si="14"/>
        <v>291</v>
      </c>
      <c r="L64" s="1188" t="s">
        <v>2126</v>
      </c>
    </row>
    <row r="65" spans="1:12">
      <c r="A65" s="159" t="s">
        <v>2127</v>
      </c>
    </row>
    <row r="66" spans="1:12">
      <c r="A66" s="160" t="s">
        <v>1899</v>
      </c>
      <c r="B66" s="584"/>
      <c r="C66" s="584"/>
      <c r="D66" s="584"/>
      <c r="E66" s="584"/>
      <c r="F66" s="584"/>
      <c r="G66" s="584"/>
      <c r="H66" s="584"/>
      <c r="I66" s="584"/>
      <c r="J66" s="471">
        <f>B66+D66+F66+H66</f>
        <v>0</v>
      </c>
      <c r="K66" s="471">
        <f>C66+E66+G66+I66</f>
        <v>0</v>
      </c>
      <c r="L66" s="1188" t="s">
        <v>1640</v>
      </c>
    </row>
    <row r="67" spans="1:12">
      <c r="A67" s="184" t="s">
        <v>1900</v>
      </c>
      <c r="B67" s="584"/>
      <c r="C67" s="584"/>
      <c r="D67" s="584"/>
      <c r="E67" s="584"/>
      <c r="F67" s="584"/>
      <c r="G67" s="584"/>
      <c r="H67" s="584"/>
      <c r="I67" s="584"/>
      <c r="J67" s="471">
        <f>B67+D67+F67+H67</f>
        <v>0</v>
      </c>
      <c r="K67" s="471">
        <f>C67+E67+G67+I67</f>
        <v>0</v>
      </c>
      <c r="L67" s="1188" t="s">
        <v>1648</v>
      </c>
    </row>
    <row r="68" spans="1:12">
      <c r="A68" s="468" t="s">
        <v>2127</v>
      </c>
      <c r="B68" s="471">
        <f t="shared" ref="B68:K68" si="15">SUM(B66:B67)</f>
        <v>0</v>
      </c>
      <c r="C68" s="471">
        <f t="shared" si="15"/>
        <v>0</v>
      </c>
      <c r="D68" s="471">
        <f t="shared" si="15"/>
        <v>0</v>
      </c>
      <c r="E68" s="471">
        <f t="shared" si="15"/>
        <v>0</v>
      </c>
      <c r="F68" s="471">
        <f t="shared" si="15"/>
        <v>0</v>
      </c>
      <c r="G68" s="471">
        <f t="shared" si="15"/>
        <v>0</v>
      </c>
      <c r="H68" s="471">
        <f t="shared" si="15"/>
        <v>0</v>
      </c>
      <c r="I68" s="471">
        <f t="shared" si="15"/>
        <v>0</v>
      </c>
      <c r="J68" s="471">
        <f t="shared" si="15"/>
        <v>0</v>
      </c>
      <c r="K68" s="471">
        <f t="shared" si="15"/>
        <v>0</v>
      </c>
      <c r="L68" s="1188" t="s">
        <v>1649</v>
      </c>
    </row>
    <row r="69" spans="1:12" ht="13.5" customHeight="1">
      <c r="A69" s="183" t="s">
        <v>1650</v>
      </c>
    </row>
    <row r="70" spans="1:12">
      <c r="A70" s="187" t="s">
        <v>1434</v>
      </c>
      <c r="B70" s="584">
        <v>3</v>
      </c>
      <c r="C70" s="584">
        <v>1</v>
      </c>
      <c r="D70" s="584">
        <v>0</v>
      </c>
      <c r="E70" s="584">
        <v>0</v>
      </c>
      <c r="F70" s="584">
        <v>0</v>
      </c>
      <c r="G70" s="584">
        <v>0</v>
      </c>
      <c r="H70" s="584">
        <v>0</v>
      </c>
      <c r="I70" s="584">
        <v>0</v>
      </c>
      <c r="J70" s="471">
        <f>B70+D70+F70+H70</f>
        <v>3</v>
      </c>
      <c r="K70" s="471">
        <f>C70+E70+G70+I70</f>
        <v>1</v>
      </c>
      <c r="L70" s="1188" t="s">
        <v>1658</v>
      </c>
    </row>
    <row r="71" spans="1:12">
      <c r="A71" s="187" t="s">
        <v>2189</v>
      </c>
      <c r="B71" s="584">
        <v>43</v>
      </c>
      <c r="C71" s="584">
        <v>6</v>
      </c>
      <c r="D71" s="584">
        <v>0</v>
      </c>
      <c r="E71" s="584">
        <v>0</v>
      </c>
      <c r="F71" s="584">
        <v>1</v>
      </c>
      <c r="G71" s="584">
        <v>0</v>
      </c>
      <c r="H71" s="584">
        <v>0</v>
      </c>
      <c r="I71" s="584">
        <v>0</v>
      </c>
      <c r="J71" s="471">
        <f t="shared" ref="J71:K73" si="16">B71+D71+F71+H71</f>
        <v>44</v>
      </c>
      <c r="K71" s="471">
        <f t="shared" si="16"/>
        <v>6</v>
      </c>
      <c r="L71" s="1188" t="s">
        <v>302</v>
      </c>
    </row>
    <row r="72" spans="1:12">
      <c r="A72" s="184" t="s">
        <v>2190</v>
      </c>
      <c r="B72" s="584">
        <v>269</v>
      </c>
      <c r="C72" s="584">
        <v>102</v>
      </c>
      <c r="D72" s="584">
        <v>0</v>
      </c>
      <c r="E72" s="584">
        <v>0</v>
      </c>
      <c r="F72" s="584">
        <v>0</v>
      </c>
      <c r="G72" s="584">
        <v>3</v>
      </c>
      <c r="H72" s="584">
        <v>0</v>
      </c>
      <c r="I72" s="584">
        <v>1</v>
      </c>
      <c r="J72" s="471">
        <f t="shared" si="16"/>
        <v>269</v>
      </c>
      <c r="K72" s="471">
        <f t="shared" si="16"/>
        <v>106</v>
      </c>
      <c r="L72" s="1188" t="s">
        <v>309</v>
      </c>
    </row>
    <row r="73" spans="1:12">
      <c r="A73" s="184" t="s">
        <v>2191</v>
      </c>
      <c r="B73" s="584"/>
      <c r="C73" s="584"/>
      <c r="D73" s="584"/>
      <c r="E73" s="584"/>
      <c r="F73" s="584"/>
      <c r="G73" s="584"/>
      <c r="H73" s="584"/>
      <c r="I73" s="584"/>
      <c r="J73" s="471">
        <f t="shared" si="16"/>
        <v>0</v>
      </c>
      <c r="K73" s="471">
        <f t="shared" si="16"/>
        <v>0</v>
      </c>
      <c r="L73" s="1188" t="s">
        <v>315</v>
      </c>
    </row>
    <row r="74" spans="1:12">
      <c r="A74" s="469" t="s">
        <v>1650</v>
      </c>
      <c r="B74" s="471">
        <f t="shared" ref="B74:K74" si="17">SUM(B70:B73)</f>
        <v>315</v>
      </c>
      <c r="C74" s="471">
        <f t="shared" si="17"/>
        <v>109</v>
      </c>
      <c r="D74" s="471">
        <f t="shared" si="17"/>
        <v>0</v>
      </c>
      <c r="E74" s="471">
        <f t="shared" si="17"/>
        <v>0</v>
      </c>
      <c r="F74" s="471">
        <f t="shared" si="17"/>
        <v>1</v>
      </c>
      <c r="G74" s="471">
        <f t="shared" si="17"/>
        <v>3</v>
      </c>
      <c r="H74" s="471">
        <f t="shared" si="17"/>
        <v>0</v>
      </c>
      <c r="I74" s="471">
        <f t="shared" si="17"/>
        <v>1</v>
      </c>
      <c r="J74" s="471">
        <f t="shared" si="17"/>
        <v>316</v>
      </c>
      <c r="K74" s="471">
        <f t="shared" si="17"/>
        <v>113</v>
      </c>
      <c r="L74" s="1188" t="s">
        <v>316</v>
      </c>
    </row>
    <row r="75" spans="1:12">
      <c r="A75" s="158" t="s">
        <v>2192</v>
      </c>
    </row>
    <row r="76" spans="1:12">
      <c r="A76" s="185" t="s">
        <v>1430</v>
      </c>
      <c r="B76" s="584"/>
      <c r="C76" s="584"/>
      <c r="D76" s="584"/>
      <c r="E76" s="584"/>
      <c r="F76" s="584"/>
      <c r="G76" s="584"/>
      <c r="H76" s="584"/>
      <c r="I76" s="584"/>
      <c r="J76" s="471">
        <f t="shared" ref="J76:J83" si="18">B76+D76+F76+H76</f>
        <v>0</v>
      </c>
      <c r="K76" s="471">
        <f t="shared" ref="K76:K83" si="19">C76+E76+G76+I76</f>
        <v>0</v>
      </c>
      <c r="L76" s="1188" t="s">
        <v>1800</v>
      </c>
    </row>
    <row r="77" spans="1:12">
      <c r="A77" s="184" t="s">
        <v>1431</v>
      </c>
      <c r="B77" s="584"/>
      <c r="C77" s="584"/>
      <c r="D77" s="584"/>
      <c r="E77" s="584"/>
      <c r="F77" s="584"/>
      <c r="G77" s="584"/>
      <c r="H77" s="584"/>
      <c r="I77" s="584"/>
      <c r="J77" s="471">
        <f t="shared" si="18"/>
        <v>0</v>
      </c>
      <c r="K77" s="471">
        <f t="shared" si="19"/>
        <v>0</v>
      </c>
      <c r="L77" s="1188" t="s">
        <v>2220</v>
      </c>
    </row>
    <row r="78" spans="1:12">
      <c r="A78" s="211" t="s">
        <v>233</v>
      </c>
      <c r="B78" s="584"/>
      <c r="C78" s="584"/>
      <c r="D78" s="584"/>
      <c r="E78" s="584"/>
      <c r="F78" s="584"/>
      <c r="G78" s="584"/>
      <c r="H78" s="584"/>
      <c r="I78" s="584"/>
      <c r="J78" s="471">
        <f t="shared" si="18"/>
        <v>0</v>
      </c>
      <c r="K78" s="471">
        <f t="shared" si="19"/>
        <v>0</v>
      </c>
      <c r="L78" s="1188" t="s">
        <v>2227</v>
      </c>
    </row>
    <row r="79" spans="1:12">
      <c r="A79" s="212" t="s">
        <v>234</v>
      </c>
      <c r="B79" s="584"/>
      <c r="C79" s="584"/>
      <c r="D79" s="584"/>
      <c r="E79" s="584"/>
      <c r="F79" s="584"/>
      <c r="G79" s="584"/>
      <c r="H79" s="584"/>
      <c r="I79" s="584"/>
      <c r="J79" s="471">
        <f t="shared" si="18"/>
        <v>0</v>
      </c>
      <c r="K79" s="471">
        <f t="shared" si="19"/>
        <v>0</v>
      </c>
      <c r="L79" s="1188" t="s">
        <v>1065</v>
      </c>
    </row>
    <row r="80" spans="1:12">
      <c r="A80" s="187" t="s">
        <v>2233</v>
      </c>
      <c r="B80" s="584"/>
      <c r="C80" s="584"/>
      <c r="D80" s="584"/>
      <c r="E80" s="584"/>
      <c r="F80" s="584"/>
      <c r="G80" s="584"/>
      <c r="H80" s="584"/>
      <c r="I80" s="584"/>
      <c r="J80" s="471">
        <f t="shared" si="18"/>
        <v>0</v>
      </c>
      <c r="K80" s="471">
        <f t="shared" si="19"/>
        <v>0</v>
      </c>
      <c r="L80" s="1188" t="s">
        <v>1807</v>
      </c>
    </row>
    <row r="81" spans="1:12">
      <c r="A81" s="187" t="s">
        <v>1896</v>
      </c>
      <c r="B81" s="584"/>
      <c r="C81" s="584"/>
      <c r="D81" s="584"/>
      <c r="E81" s="584"/>
      <c r="F81" s="584"/>
      <c r="G81" s="584"/>
      <c r="H81" s="584"/>
      <c r="I81" s="584"/>
      <c r="J81" s="471">
        <f t="shared" si="18"/>
        <v>0</v>
      </c>
      <c r="K81" s="471">
        <f t="shared" si="19"/>
        <v>0</v>
      </c>
      <c r="L81" s="1188" t="s">
        <v>1812</v>
      </c>
    </row>
    <row r="82" spans="1:12">
      <c r="A82" s="187" t="s">
        <v>236</v>
      </c>
      <c r="B82" s="584"/>
      <c r="C82" s="584"/>
      <c r="D82" s="584"/>
      <c r="E82" s="584"/>
      <c r="F82" s="584"/>
      <c r="G82" s="584"/>
      <c r="H82" s="584"/>
      <c r="I82" s="584"/>
      <c r="J82" s="471">
        <f t="shared" si="18"/>
        <v>0</v>
      </c>
      <c r="K82" s="471">
        <f t="shared" si="19"/>
        <v>0</v>
      </c>
      <c r="L82" s="1188" t="s">
        <v>1073</v>
      </c>
    </row>
    <row r="83" spans="1:12">
      <c r="A83" s="184" t="s">
        <v>237</v>
      </c>
      <c r="B83" s="584"/>
      <c r="C83" s="584"/>
      <c r="D83" s="584"/>
      <c r="E83" s="584"/>
      <c r="F83" s="584"/>
      <c r="G83" s="584"/>
      <c r="H83" s="584"/>
      <c r="I83" s="584"/>
      <c r="J83" s="471">
        <f t="shared" si="18"/>
        <v>0</v>
      </c>
      <c r="K83" s="471">
        <f t="shared" si="19"/>
        <v>0</v>
      </c>
      <c r="L83" s="1188" t="s">
        <v>1079</v>
      </c>
    </row>
    <row r="84" spans="1:12">
      <c r="A84" s="468" t="s">
        <v>1080</v>
      </c>
      <c r="B84" s="471">
        <f t="shared" ref="B84:K84" si="20">SUM(B76:B83)</f>
        <v>0</v>
      </c>
      <c r="C84" s="471">
        <f t="shared" si="20"/>
        <v>0</v>
      </c>
      <c r="D84" s="471">
        <f t="shared" si="20"/>
        <v>0</v>
      </c>
      <c r="E84" s="471">
        <f t="shared" si="20"/>
        <v>0</v>
      </c>
      <c r="F84" s="471">
        <f t="shared" si="20"/>
        <v>0</v>
      </c>
      <c r="G84" s="471">
        <f t="shared" si="20"/>
        <v>0</v>
      </c>
      <c r="H84" s="471">
        <f t="shared" si="20"/>
        <v>0</v>
      </c>
      <c r="I84" s="471">
        <f t="shared" si="20"/>
        <v>0</v>
      </c>
      <c r="J84" s="471">
        <f t="shared" si="20"/>
        <v>0</v>
      </c>
      <c r="K84" s="471">
        <f t="shared" si="20"/>
        <v>0</v>
      </c>
      <c r="L84" s="1188" t="s">
        <v>1081</v>
      </c>
    </row>
    <row r="85" spans="1:12">
      <c r="A85" s="157" t="s">
        <v>1082</v>
      </c>
    </row>
    <row r="86" spans="1:12">
      <c r="A86" s="184" t="s">
        <v>238</v>
      </c>
      <c r="B86" s="584">
        <v>6</v>
      </c>
      <c r="C86" s="584">
        <v>10</v>
      </c>
      <c r="D86" s="584">
        <v>0</v>
      </c>
      <c r="E86" s="584">
        <v>0</v>
      </c>
      <c r="F86" s="584">
        <v>0</v>
      </c>
      <c r="G86" s="584">
        <v>0</v>
      </c>
      <c r="H86" s="584">
        <v>0</v>
      </c>
      <c r="I86" s="584">
        <v>0</v>
      </c>
      <c r="J86" s="471">
        <f>B86+D86+F86+H86</f>
        <v>6</v>
      </c>
      <c r="K86" s="471">
        <f>C86+E86+G86+I86</f>
        <v>10</v>
      </c>
      <c r="L86" s="1188" t="s">
        <v>685</v>
      </c>
    </row>
    <row r="87" spans="1:12">
      <c r="A87" s="184" t="s">
        <v>239</v>
      </c>
      <c r="B87" s="584">
        <v>41</v>
      </c>
      <c r="C87" s="584">
        <v>71</v>
      </c>
      <c r="D87" s="584">
        <v>0</v>
      </c>
      <c r="E87" s="584">
        <v>0</v>
      </c>
      <c r="F87" s="584">
        <v>0</v>
      </c>
      <c r="G87" s="584">
        <v>2</v>
      </c>
      <c r="H87" s="584">
        <v>0</v>
      </c>
      <c r="I87" s="584">
        <v>0</v>
      </c>
      <c r="J87" s="471">
        <f>B87+D87+F87+H87</f>
        <v>41</v>
      </c>
      <c r="K87" s="471">
        <f>C87+E87+G87+I87</f>
        <v>73</v>
      </c>
      <c r="L87" s="1188" t="s">
        <v>693</v>
      </c>
    </row>
    <row r="88" spans="1:12">
      <c r="A88" s="468" t="s">
        <v>1082</v>
      </c>
      <c r="B88" s="471">
        <f t="shared" ref="B88:K88" si="21">SUM(B86:B87)</f>
        <v>47</v>
      </c>
      <c r="C88" s="471">
        <f t="shared" si="21"/>
        <v>81</v>
      </c>
      <c r="D88" s="471">
        <f t="shared" si="21"/>
        <v>0</v>
      </c>
      <c r="E88" s="471">
        <f t="shared" si="21"/>
        <v>0</v>
      </c>
      <c r="F88" s="471">
        <f t="shared" si="21"/>
        <v>0</v>
      </c>
      <c r="G88" s="471">
        <f t="shared" si="21"/>
        <v>2</v>
      </c>
      <c r="H88" s="471">
        <f t="shared" si="21"/>
        <v>0</v>
      </c>
      <c r="I88" s="471">
        <f t="shared" si="21"/>
        <v>0</v>
      </c>
      <c r="J88" s="471">
        <f t="shared" si="21"/>
        <v>47</v>
      </c>
      <c r="K88" s="471">
        <f t="shared" si="21"/>
        <v>83</v>
      </c>
      <c r="L88" s="1188" t="s">
        <v>694</v>
      </c>
    </row>
    <row r="90" spans="1:12">
      <c r="A90" s="470" t="s">
        <v>696</v>
      </c>
      <c r="B90" s="471">
        <f>B51+B64+B68+B74+B84+B88+B43+B38+B27+B19</f>
        <v>1555</v>
      </c>
      <c r="C90" s="471">
        <f t="shared" ref="C90:K90" si="22">C51+C64+C68+C74+C84+C88+C43+C38+C27+C19</f>
        <v>2329</v>
      </c>
      <c r="D90" s="471">
        <f t="shared" si="22"/>
        <v>1</v>
      </c>
      <c r="E90" s="471">
        <f t="shared" si="22"/>
        <v>17</v>
      </c>
      <c r="F90" s="471">
        <f t="shared" si="22"/>
        <v>10</v>
      </c>
      <c r="G90" s="471">
        <f t="shared" si="22"/>
        <v>174</v>
      </c>
      <c r="H90" s="471">
        <f t="shared" si="22"/>
        <v>2</v>
      </c>
      <c r="I90" s="471">
        <f t="shared" si="22"/>
        <v>197</v>
      </c>
      <c r="J90" s="471">
        <f t="shared" si="22"/>
        <v>1568</v>
      </c>
      <c r="K90" s="471">
        <f t="shared" si="22"/>
        <v>2717</v>
      </c>
      <c r="L90" s="1198" t="s">
        <v>697</v>
      </c>
    </row>
    <row r="92" spans="1:12">
      <c r="A92" s="152" t="s">
        <v>1993</v>
      </c>
      <c r="B92" s="55"/>
      <c r="C92" s="55"/>
      <c r="D92" s="55"/>
      <c r="E92" s="55"/>
      <c r="F92" s="55"/>
      <c r="G92" s="55"/>
      <c r="H92" s="55"/>
      <c r="I92" s="55"/>
    </row>
  </sheetData>
  <sheetProtection algorithmName="SHA-512" hashValue="yLndUtV7Wv/Dm+f+ZuEVDxXFViDWqpGIHrcC8x45QolOURHDwrXpsB+q9HNy91iD8223oBfDWz47ncfigB9H7g==" saltValue="98x2a/KrMYawmVIWoj2hvg==" spinCount="100000" sheet="1" objects="1" scenarios="1"/>
  <mergeCells count="12">
    <mergeCell ref="D1:E1"/>
    <mergeCell ref="A3:K3"/>
    <mergeCell ref="A5:K5"/>
    <mergeCell ref="A6:I6"/>
    <mergeCell ref="B9:I9"/>
    <mergeCell ref="J9:K11"/>
    <mergeCell ref="B10:C10"/>
    <mergeCell ref="D10:I10"/>
    <mergeCell ref="B11:C11"/>
    <mergeCell ref="D11:E11"/>
    <mergeCell ref="F11:G11"/>
    <mergeCell ref="H11:I11"/>
  </mergeCells>
  <dataValidations xWindow="56391" yWindow="25481" count="1">
    <dataValidation type="whole" allowBlank="1" showInputMessage="1" showErrorMessage="1" errorTitle="Erreur de saisie" error="Vous devez saisir une valeur entière" sqref="B14:I18 B21:I26 B29:I37 B40:I42 B45:I50 B53:I63 B66:I67 B70:I73 B76:I83 B86:I87">
      <formula1>0</formula1>
      <formula2>999999999999</formula2>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55" firstPageNumber="0" orientation="portrait" r:id="rId1"/>
  <headerFooter alignWithMargins="0">
    <oddFooter>&amp;LRSU 2020 - Présentation au CTP&amp;R&amp;P/&amp;N
&amp;A</oddFooter>
  </headerFooter>
  <rowBreaks count="1" manualBreakCount="1">
    <brk id="43" max="10" man="1"/>
  </rowBreaks>
</worksheet>
</file>

<file path=xl/worksheets/sheet18.xml><?xml version="1.0" encoding="utf-8"?>
<worksheet xmlns="http://schemas.openxmlformats.org/spreadsheetml/2006/main" xmlns:r="http://schemas.openxmlformats.org/officeDocument/2006/relationships">
  <sheetPr codeName="Feuil10">
    <pageSetUpPr fitToPage="1"/>
  </sheetPr>
  <dimension ref="A1:F34"/>
  <sheetViews>
    <sheetView showGridLines="0" zoomScaleNormal="100" workbookViewId="0"/>
  </sheetViews>
  <sheetFormatPr baseColWidth="10" defaultColWidth="10.85546875" defaultRowHeight="12.75" customHeight="1"/>
  <cols>
    <col min="1" max="1" width="25.7109375" customWidth="1"/>
    <col min="2" max="2" width="22.28515625" customWidth="1"/>
    <col min="3" max="5" width="10.85546875" customWidth="1"/>
    <col min="6" max="6" width="17.85546875" customWidth="1"/>
    <col min="7" max="7" width="10.85546875" customWidth="1"/>
  </cols>
  <sheetData>
    <row r="1" spans="1:6" ht="17.100000000000001" customHeight="1">
      <c r="A1" s="1"/>
      <c r="B1" s="1"/>
      <c r="C1" s="2245" t="s">
        <v>958</v>
      </c>
      <c r="D1" s="2245"/>
      <c r="E1" s="1"/>
      <c r="F1" s="1"/>
    </row>
    <row r="2" spans="1:6" ht="13.5" thickBot="1"/>
    <row r="3" spans="1:6" ht="25.5" customHeight="1" thickBot="1">
      <c r="A3" s="2267" t="s">
        <v>231</v>
      </c>
      <c r="B3" s="2267"/>
      <c r="C3" s="2267"/>
      <c r="D3" s="2267"/>
      <c r="E3" s="2267"/>
      <c r="F3" s="2267"/>
    </row>
    <row r="6" spans="1:6" ht="12.75" customHeight="1">
      <c r="A6" s="2242" t="s">
        <v>17</v>
      </c>
      <c r="B6" s="2242"/>
      <c r="C6" s="2242"/>
      <c r="D6" s="2242"/>
      <c r="E6" s="2242"/>
      <c r="F6" s="2242"/>
    </row>
    <row r="7" spans="1:6" ht="12.75" customHeight="1">
      <c r="A7" s="2244" t="s">
        <v>18</v>
      </c>
      <c r="B7" s="2244"/>
      <c r="C7" s="2244"/>
      <c r="D7" s="2244"/>
      <c r="E7" s="2244"/>
      <c r="F7" s="2244"/>
    </row>
    <row r="10" spans="1:6" ht="12.75" customHeight="1">
      <c r="A10" s="2244" t="s">
        <v>959</v>
      </c>
      <c r="B10" s="2244"/>
      <c r="C10" s="2244"/>
      <c r="D10" s="2244"/>
      <c r="E10" s="2244"/>
      <c r="F10" s="2244"/>
    </row>
    <row r="12" spans="1:6" ht="12.75" customHeight="1">
      <c r="A12" s="2239" t="s">
        <v>19</v>
      </c>
      <c r="B12" s="2239"/>
      <c r="C12" s="2239"/>
      <c r="D12" s="2239"/>
      <c r="E12" s="2239"/>
      <c r="F12" s="2239"/>
    </row>
    <row r="14" spans="1:6" ht="12.75" customHeight="1">
      <c r="A14" s="2239" t="s">
        <v>20</v>
      </c>
      <c r="B14" s="2239"/>
      <c r="C14" s="2239"/>
      <c r="D14" s="2239"/>
      <c r="E14" s="2239"/>
      <c r="F14" s="2239"/>
    </row>
    <row r="17" spans="1:6" ht="12.75" customHeight="1">
      <c r="A17" s="2239" t="s">
        <v>21</v>
      </c>
      <c r="B17" s="2239"/>
      <c r="C17" s="2239"/>
      <c r="D17" s="2239"/>
      <c r="E17" s="2239"/>
      <c r="F17" s="1095"/>
    </row>
    <row r="18" spans="1:6" ht="54.4" customHeight="1">
      <c r="A18" s="2260" t="s">
        <v>22</v>
      </c>
      <c r="B18" s="2261"/>
      <c r="C18" s="2261"/>
      <c r="D18" s="2261"/>
      <c r="E18" s="2261"/>
      <c r="F18" s="2261"/>
    </row>
    <row r="19" spans="1:6" ht="50.25" customHeight="1">
      <c r="A19" s="2260" t="s">
        <v>23</v>
      </c>
      <c r="B19" s="2261"/>
      <c r="C19" s="2261"/>
      <c r="D19" s="2261"/>
      <c r="E19" s="2261"/>
      <c r="F19" s="2261"/>
    </row>
    <row r="21" spans="1:6" ht="12.75" customHeight="1">
      <c r="A21" s="2239" t="s">
        <v>2591</v>
      </c>
      <c r="B21" s="2239"/>
      <c r="C21" s="2239"/>
      <c r="D21" s="2239"/>
      <c r="E21" s="2239"/>
      <c r="F21" s="2239"/>
    </row>
    <row r="23" spans="1:6" ht="12.75" customHeight="1">
      <c r="A23" s="2266" t="s">
        <v>1844</v>
      </c>
      <c r="B23" s="2266"/>
      <c r="C23" s="2266"/>
      <c r="D23" s="2266"/>
      <c r="E23" s="2266"/>
      <c r="F23" s="2266"/>
    </row>
    <row r="26" spans="1:6" ht="12.75" customHeight="1">
      <c r="A26" s="2284" t="s">
        <v>960</v>
      </c>
      <c r="B26" s="2284"/>
      <c r="C26" s="2284"/>
      <c r="D26" s="2284"/>
      <c r="E26" s="2284"/>
      <c r="F26" s="1095"/>
    </row>
    <row r="28" spans="1:6" ht="12.75" customHeight="1">
      <c r="A28" s="2238" t="s">
        <v>888</v>
      </c>
      <c r="B28" s="2239"/>
      <c r="C28" s="2239"/>
      <c r="D28" s="2239"/>
      <c r="E28" s="2239"/>
      <c r="F28" s="2239"/>
    </row>
    <row r="30" spans="1:6" ht="12.75" customHeight="1">
      <c r="A30" s="2239" t="s">
        <v>889</v>
      </c>
      <c r="B30" s="2239"/>
      <c r="C30" s="2239"/>
      <c r="D30" s="2239"/>
      <c r="E30" s="2239"/>
      <c r="F30" s="2239"/>
    </row>
    <row r="31" spans="1:6" ht="12.75" customHeight="1">
      <c r="A31" s="2258" t="s">
        <v>890</v>
      </c>
      <c r="B31" s="2259"/>
      <c r="C31" s="2259"/>
      <c r="D31" s="2259"/>
      <c r="E31" s="2259"/>
      <c r="F31" s="2259"/>
    </row>
    <row r="32" spans="1:6" ht="12.75" customHeight="1">
      <c r="A32" s="2258" t="s">
        <v>891</v>
      </c>
      <c r="B32" s="2259"/>
      <c r="C32" s="2259"/>
      <c r="D32" s="2259"/>
      <c r="E32" s="2259"/>
      <c r="F32" s="2259"/>
    </row>
    <row r="34" spans="1:1" ht="14.25">
      <c r="A34" s="1095" t="s">
        <v>892</v>
      </c>
    </row>
  </sheetData>
  <sheetProtection algorithmName="SHA-512" hashValue="c46sjFVsLVGjJ1MK7QPsP46o6O1HHpiGKLfGS4Gnk3/AFpssg49Z2yeXuM/Ymi3eDN2dCFtMg3AAK6PLqk+qXQ==" saltValue="2QxWuD3Z6yZYWsmMxPu3Bg==" spinCount="100000" sheet="1" objects="1" scenarios="1"/>
  <mergeCells count="17">
    <mergeCell ref="A30:F30"/>
    <mergeCell ref="A31:F31"/>
    <mergeCell ref="A32:F32"/>
    <mergeCell ref="A14:F14"/>
    <mergeCell ref="A17:E17"/>
    <mergeCell ref="A18:F18"/>
    <mergeCell ref="A19:F19"/>
    <mergeCell ref="A21:F21"/>
    <mergeCell ref="A23:F23"/>
    <mergeCell ref="A26:E26"/>
    <mergeCell ref="A28:F28"/>
    <mergeCell ref="A10:F10"/>
    <mergeCell ref="A12:F12"/>
    <mergeCell ref="C1:D1"/>
    <mergeCell ref="A3:F3"/>
    <mergeCell ref="A6:F6"/>
    <mergeCell ref="A7:F7"/>
  </mergeCell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94" firstPageNumber="0" orientation="portrait" r:id="rId1"/>
  <headerFooter alignWithMargins="0">
    <oddFooter>&amp;LRSU 2020 - Présentation au CTP&amp;R&amp;P/&amp;N
&amp;A</oddFooter>
  </headerFooter>
</worksheet>
</file>

<file path=xl/worksheets/sheet19.xml><?xml version="1.0" encoding="utf-8"?>
<worksheet xmlns="http://schemas.openxmlformats.org/spreadsheetml/2006/main" xmlns:r="http://schemas.openxmlformats.org/officeDocument/2006/relationships">
  <sheetPr codeName="Feuil11">
    <pageSetUpPr fitToPage="1"/>
  </sheetPr>
  <dimension ref="A1:F17"/>
  <sheetViews>
    <sheetView showGridLines="0" workbookViewId="0"/>
  </sheetViews>
  <sheetFormatPr baseColWidth="10" defaultColWidth="10.85546875" defaultRowHeight="12.75" customHeight="1"/>
  <cols>
    <col min="1" max="1" width="24.42578125" customWidth="1"/>
    <col min="2" max="2" width="20.28515625" customWidth="1"/>
    <col min="3" max="4" width="23" customWidth="1"/>
    <col min="5" max="5" width="21.28515625" customWidth="1"/>
  </cols>
  <sheetData>
    <row r="1" spans="1:6" ht="17.100000000000001" customHeight="1">
      <c r="A1" s="55"/>
      <c r="B1" s="55"/>
      <c r="C1" s="1073" t="s">
        <v>958</v>
      </c>
      <c r="D1" s="55"/>
      <c r="E1" s="55"/>
      <c r="F1" s="1"/>
    </row>
    <row r="2" spans="1:6">
      <c r="A2" s="55"/>
      <c r="B2" s="55"/>
      <c r="C2" s="242"/>
      <c r="D2" s="242"/>
      <c r="E2" s="339"/>
      <c r="F2" s="9"/>
    </row>
    <row r="3" spans="1:6">
      <c r="A3" s="2286" t="s">
        <v>231</v>
      </c>
      <c r="B3" s="2286"/>
      <c r="C3" s="2286"/>
      <c r="D3" s="2286"/>
      <c r="E3" s="2286"/>
      <c r="F3" s="53"/>
    </row>
    <row r="4" spans="1:6">
      <c r="A4" s="273"/>
      <c r="B4" s="272"/>
      <c r="C4" s="272"/>
      <c r="D4" s="272"/>
      <c r="E4" s="272"/>
      <c r="F4" s="56"/>
    </row>
    <row r="5" spans="1:6" ht="36" customHeight="1">
      <c r="A5" s="2287" t="s">
        <v>2340</v>
      </c>
      <c r="B5" s="2287"/>
      <c r="C5" s="2287"/>
      <c r="D5" s="2287"/>
      <c r="E5" s="2287"/>
      <c r="F5" s="109"/>
    </row>
    <row r="6" spans="1:6">
      <c r="A6" s="55"/>
      <c r="B6" s="55"/>
      <c r="C6" s="1190">
        <v>1</v>
      </c>
      <c r="D6" s="1190">
        <v>2</v>
      </c>
      <c r="E6" s="1190" t="s">
        <v>1951</v>
      </c>
      <c r="F6" s="414"/>
    </row>
    <row r="7" spans="1:6" ht="24">
      <c r="A7" s="55"/>
      <c r="B7" s="55"/>
      <c r="C7" s="213" t="s">
        <v>1502</v>
      </c>
      <c r="D7" s="213" t="s">
        <v>1817</v>
      </c>
      <c r="E7" s="1188" t="s">
        <v>711</v>
      </c>
      <c r="F7" s="1188" t="s">
        <v>1307</v>
      </c>
    </row>
    <row r="8" spans="1:6">
      <c r="A8" s="55"/>
      <c r="B8" s="55"/>
      <c r="C8" s="396" t="s">
        <v>712</v>
      </c>
      <c r="D8" s="396" t="s">
        <v>713</v>
      </c>
      <c r="E8" s="423"/>
      <c r="F8" s="423"/>
    </row>
    <row r="9" spans="1:6">
      <c r="A9" s="2285" t="s">
        <v>714</v>
      </c>
      <c r="B9" s="397" t="s">
        <v>707</v>
      </c>
      <c r="C9" s="671">
        <v>1</v>
      </c>
      <c r="D9" s="671">
        <v>0</v>
      </c>
      <c r="E9" s="1188">
        <v>1</v>
      </c>
      <c r="F9" s="1188">
        <v>1</v>
      </c>
    </row>
    <row r="10" spans="1:6">
      <c r="A10" s="2285"/>
      <c r="B10" s="398" t="s">
        <v>708</v>
      </c>
      <c r="C10" s="584">
        <v>5</v>
      </c>
      <c r="D10" s="584">
        <v>26</v>
      </c>
      <c r="E10" s="1188">
        <v>1</v>
      </c>
      <c r="F10" s="1188">
        <v>2</v>
      </c>
    </row>
    <row r="11" spans="1:6">
      <c r="A11" s="2285"/>
      <c r="B11" s="472" t="s">
        <v>768</v>
      </c>
      <c r="C11" s="672">
        <f>SUM(C9:C10)</f>
        <v>6</v>
      </c>
      <c r="D11" s="672">
        <f>SUM(D9:D10)</f>
        <v>26</v>
      </c>
      <c r="E11" s="1188">
        <v>1</v>
      </c>
      <c r="F11" s="1188">
        <v>0</v>
      </c>
    </row>
    <row r="12" spans="1:6">
      <c r="A12" s="2285" t="s">
        <v>715</v>
      </c>
      <c r="B12" s="67" t="s">
        <v>707</v>
      </c>
      <c r="C12" s="630">
        <v>2</v>
      </c>
      <c r="D12" s="630">
        <v>3</v>
      </c>
      <c r="E12" s="1188">
        <v>2</v>
      </c>
      <c r="F12" s="1188">
        <v>1</v>
      </c>
    </row>
    <row r="13" spans="1:6">
      <c r="A13" s="2285"/>
      <c r="B13" s="399" t="s">
        <v>708</v>
      </c>
      <c r="C13" s="630">
        <v>6</v>
      </c>
      <c r="D13" s="630">
        <v>22</v>
      </c>
      <c r="E13" s="1188">
        <v>2</v>
      </c>
      <c r="F13" s="1188">
        <v>2</v>
      </c>
    </row>
    <row r="14" spans="1:6">
      <c r="A14" s="2285"/>
      <c r="B14" s="472" t="s">
        <v>768</v>
      </c>
      <c r="C14" s="673">
        <f>SUM(C12:C13)</f>
        <v>8</v>
      </c>
      <c r="D14" s="673">
        <f>SUM(D12:D13)</f>
        <v>25</v>
      </c>
      <c r="E14" s="1188">
        <v>2</v>
      </c>
      <c r="F14" s="1188">
        <v>0</v>
      </c>
    </row>
    <row r="15" spans="1:6">
      <c r="A15" s="2285" t="s">
        <v>670</v>
      </c>
      <c r="B15" s="67" t="s">
        <v>707</v>
      </c>
      <c r="C15" s="630">
        <v>2</v>
      </c>
      <c r="D15" s="630">
        <v>5</v>
      </c>
      <c r="E15" s="1188">
        <v>3</v>
      </c>
      <c r="F15" s="1188">
        <v>1</v>
      </c>
    </row>
    <row r="16" spans="1:6">
      <c r="A16" s="2285"/>
      <c r="B16" s="399" t="s">
        <v>708</v>
      </c>
      <c r="C16" s="630">
        <v>82</v>
      </c>
      <c r="D16" s="630">
        <v>247</v>
      </c>
      <c r="E16" s="1188">
        <v>3</v>
      </c>
      <c r="F16" s="1188">
        <v>2</v>
      </c>
    </row>
    <row r="17" spans="1:6">
      <c r="A17" s="2285"/>
      <c r="B17" s="472" t="s">
        <v>768</v>
      </c>
      <c r="C17" s="673">
        <f>SUM(C15:C16)</f>
        <v>84</v>
      </c>
      <c r="D17" s="673">
        <f>SUM(D15:D16)</f>
        <v>252</v>
      </c>
      <c r="E17" s="1188">
        <v>3</v>
      </c>
      <c r="F17" s="1188">
        <v>0</v>
      </c>
    </row>
  </sheetData>
  <sheetProtection algorithmName="SHA-512" hashValue="y+9ZImVwes9SdttAoJpX0p3/C/sgz3Lm9YjxTzdXFnz+ff994kBrpuxxPP3B5CS/nF4bVuH0CU/okZ7MLj1HsQ==" saltValue="giSSpCkPF6neJIuvr82CDw==" spinCount="100000" sheet="1" objects="1" scenarios="1"/>
  <mergeCells count="5">
    <mergeCell ref="A15:A17"/>
    <mergeCell ref="A3:E3"/>
    <mergeCell ref="A5:E5"/>
    <mergeCell ref="A9:A11"/>
    <mergeCell ref="A12:A14"/>
  </mergeCells>
  <dataValidations xWindow="64240" yWindow="51936" count="1">
    <dataValidation type="whole" allowBlank="1" showInputMessage="1" showErrorMessage="1" errorTitle="Erreur de saisie" error="Vous devez saisir une valeur entière" sqref="C15:D16 C12:D13 C9:D10">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80" firstPageNumber="0" orientation="portrait" r:id="rId1"/>
  <headerFooter alignWithMargins="0">
    <oddFooter>&amp;LRSU 2020 - Présentation au CTP&amp;R&amp;P/&amp;N
&amp;A</oddFooter>
  </headerFooter>
</worksheet>
</file>

<file path=xl/worksheets/sheet2.xml><?xml version="1.0" encoding="utf-8"?>
<worksheet xmlns="http://schemas.openxmlformats.org/spreadsheetml/2006/main" xmlns:r="http://schemas.openxmlformats.org/officeDocument/2006/relationships">
  <sheetPr codeName="Feuil6"/>
  <dimension ref="A1:GZ174"/>
  <sheetViews>
    <sheetView showRuler="0" view="pageLayout" zoomScale="96" zoomScaleNormal="115" zoomScalePageLayoutView="96" workbookViewId="0">
      <selection sqref="A1:A7"/>
    </sheetView>
  </sheetViews>
  <sheetFormatPr baseColWidth="10" defaultColWidth="11.42578125" defaultRowHeight="15"/>
  <cols>
    <col min="1" max="1" width="3.28515625" style="1319" customWidth="1"/>
    <col min="2" max="3" width="6" style="1319" customWidth="1"/>
    <col min="4" max="6" width="10.42578125" style="1319" customWidth="1"/>
    <col min="7" max="7" width="6" style="1319" customWidth="1"/>
    <col min="8" max="8" width="10.5703125" style="1319" customWidth="1"/>
    <col min="9" max="10" width="10.42578125" style="1319" customWidth="1"/>
    <col min="11" max="11" width="10.140625" style="1319" customWidth="1"/>
    <col min="12" max="12" width="3.28515625" style="1319" customWidth="1"/>
    <col min="13" max="17" width="8.42578125" style="1319" customWidth="1"/>
    <col min="18" max="18" width="7" style="1319" customWidth="1"/>
    <col min="19" max="23" width="8.42578125" style="1319" customWidth="1"/>
    <col min="24" max="24" width="3.85546875" style="1319" customWidth="1"/>
    <col min="25" max="28" width="9.85546875" style="1319" customWidth="1"/>
    <col min="29" max="30" width="3.42578125" style="1319" customWidth="1"/>
    <col min="31" max="34" width="11.140625" style="1319" customWidth="1"/>
    <col min="35" max="35" width="3.85546875" style="1319" customWidth="1"/>
    <col min="36" max="36" width="10.7109375" style="1319" customWidth="1"/>
    <col min="37" max="48" width="6.7109375" style="1319" customWidth="1"/>
    <col min="49" max="49" width="3.85546875" style="1319" customWidth="1"/>
    <col min="50" max="50" width="8.140625" style="1319" customWidth="1"/>
    <col min="51" max="51" width="8.7109375" style="1319" customWidth="1"/>
    <col min="52" max="52" width="12.85546875" style="1319" customWidth="1"/>
    <col min="53" max="53" width="12.42578125" style="1319" customWidth="1"/>
    <col min="54" max="55" width="5.28515625" style="1319" customWidth="1"/>
    <col min="56" max="57" width="9.85546875" style="1319" customWidth="1"/>
    <col min="58" max="59" width="4.7109375" style="1319" customWidth="1"/>
    <col min="60" max="60" width="9.28515625" style="1327" customWidth="1"/>
    <col min="61" max="61" width="3.85546875" style="1319" customWidth="1"/>
    <col min="62" max="62" width="9.85546875" style="1319" customWidth="1"/>
    <col min="63" max="63" width="5.28515625" style="1319" customWidth="1"/>
    <col min="64" max="64" width="4" style="1319" customWidth="1"/>
    <col min="65" max="66" width="11" style="1319" customWidth="1"/>
    <col min="67" max="68" width="5.28515625" style="1319" customWidth="1"/>
    <col min="69" max="72" width="9.85546875" style="1319" customWidth="1"/>
    <col min="73" max="73" width="3.85546875" style="1327" customWidth="1"/>
    <col min="74" max="77" width="9.85546875" style="1327" customWidth="1"/>
    <col min="78" max="79" width="5.28515625" style="1327" customWidth="1"/>
    <col min="80" max="82" width="9.85546875" style="1327" customWidth="1"/>
    <col min="83" max="83" width="9.140625" style="1320" customWidth="1"/>
    <col min="84" max="84" width="8.140625" style="1320" customWidth="1"/>
    <col min="85" max="85" width="9.5703125" style="1320" customWidth="1"/>
    <col min="86" max="86" width="13.140625" style="1320" customWidth="1"/>
    <col min="87" max="87" width="11.7109375" style="1320" customWidth="1"/>
    <col min="88" max="89" width="2.42578125" style="1320" customWidth="1"/>
    <col min="90" max="90" width="11.5703125" style="1320" customWidth="1"/>
    <col min="91" max="91" width="12.7109375" style="1320" customWidth="1"/>
    <col min="92" max="92" width="8.28515625" style="1320" customWidth="1"/>
    <col min="93" max="93" width="10.5703125" style="1320" customWidth="1"/>
    <col min="94" max="94" width="3.85546875" style="1320" customWidth="1"/>
    <col min="95" max="95" width="8.140625" style="1320" customWidth="1"/>
    <col min="96" max="96" width="9.5703125" style="1320" customWidth="1"/>
    <col min="97" max="97" width="13.140625" style="1320" customWidth="1"/>
    <col min="98" max="282" width="11.42578125" style="1320"/>
    <col min="283" max="283" width="2.85546875" style="1320" customWidth="1"/>
    <col min="284" max="284" width="10.85546875" style="1320" customWidth="1"/>
    <col min="285" max="285" width="10.28515625" style="1320" customWidth="1"/>
    <col min="286" max="286" width="10.5703125" style="1320" customWidth="1"/>
    <col min="287" max="287" width="11.85546875" style="1320" customWidth="1"/>
    <col min="288" max="288" width="7.5703125" style="1320" customWidth="1"/>
    <col min="289" max="291" width="10.28515625" style="1320" customWidth="1"/>
    <col min="292" max="292" width="9.85546875" style="1320" customWidth="1"/>
    <col min="293" max="293" width="0.28515625" style="1320" customWidth="1"/>
    <col min="294" max="294" width="3.85546875" style="1320" customWidth="1"/>
    <col min="295" max="298" width="9.85546875" style="1320" customWidth="1"/>
    <col min="299" max="300" width="5.28515625" style="1320" customWidth="1"/>
    <col min="301" max="304" width="9.85546875" style="1320" customWidth="1"/>
    <col min="305" max="305" width="3.85546875" style="1320" customWidth="1"/>
    <col min="306" max="306" width="9.85546875" style="1320" customWidth="1"/>
    <col min="307" max="307" width="5.28515625" style="1320" customWidth="1"/>
    <col min="308" max="308" width="6" style="1320" customWidth="1"/>
    <col min="309" max="310" width="9.85546875" style="1320" customWidth="1"/>
    <col min="311" max="312" width="5.28515625" style="1320" customWidth="1"/>
    <col min="313" max="316" width="9.85546875" style="1320" customWidth="1"/>
    <col min="317" max="317" width="3.85546875" style="1320" customWidth="1"/>
    <col min="318" max="318" width="8.140625" style="1320" customWidth="1"/>
    <col min="319" max="319" width="8.7109375" style="1320" customWidth="1"/>
    <col min="320" max="320" width="12.85546875" style="1320" customWidth="1"/>
    <col min="321" max="321" width="12.42578125" style="1320" customWidth="1"/>
    <col min="322" max="323" width="5.28515625" style="1320" customWidth="1"/>
    <col min="324" max="325" width="9.85546875" style="1320" customWidth="1"/>
    <col min="326" max="327" width="4.7109375" style="1320" customWidth="1"/>
    <col min="328" max="328" width="9.28515625" style="1320" customWidth="1"/>
    <col min="329" max="329" width="3.85546875" style="1320" customWidth="1"/>
    <col min="330" max="333" width="9.85546875" style="1320" customWidth="1"/>
    <col min="334" max="335" width="5.28515625" style="1320" customWidth="1"/>
    <col min="336" max="338" width="9.85546875" style="1320" customWidth="1"/>
    <col min="339" max="339" width="9.140625" style="1320" customWidth="1"/>
    <col min="340" max="340" width="8.140625" style="1320" customWidth="1"/>
    <col min="341" max="341" width="9.5703125" style="1320" customWidth="1"/>
    <col min="342" max="342" width="13.140625" style="1320" customWidth="1"/>
    <col min="343" max="343" width="11.7109375" style="1320" customWidth="1"/>
    <col min="344" max="345" width="2.42578125" style="1320" customWidth="1"/>
    <col min="346" max="346" width="11.5703125" style="1320" customWidth="1"/>
    <col min="347" max="347" width="12.7109375" style="1320" customWidth="1"/>
    <col min="348" max="348" width="8.28515625" style="1320" customWidth="1"/>
    <col min="349" max="349" width="10.5703125" style="1320" customWidth="1"/>
    <col min="350" max="350" width="3.85546875" style="1320" customWidth="1"/>
    <col min="351" max="351" width="8.140625" style="1320" customWidth="1"/>
    <col min="352" max="352" width="9.5703125" style="1320" customWidth="1"/>
    <col min="353" max="353" width="13.140625" style="1320" customWidth="1"/>
    <col min="354" max="538" width="11.42578125" style="1320"/>
    <col min="539" max="539" width="2.85546875" style="1320" customWidth="1"/>
    <col min="540" max="540" width="10.85546875" style="1320" customWidth="1"/>
    <col min="541" max="541" width="10.28515625" style="1320" customWidth="1"/>
    <col min="542" max="542" width="10.5703125" style="1320" customWidth="1"/>
    <col min="543" max="543" width="11.85546875" style="1320" customWidth="1"/>
    <col min="544" max="544" width="7.5703125" style="1320" customWidth="1"/>
    <col min="545" max="547" width="10.28515625" style="1320" customWidth="1"/>
    <col min="548" max="548" width="9.85546875" style="1320" customWidth="1"/>
    <col min="549" max="549" width="0.28515625" style="1320" customWidth="1"/>
    <col min="550" max="550" width="3.85546875" style="1320" customWidth="1"/>
    <col min="551" max="554" width="9.85546875" style="1320" customWidth="1"/>
    <col min="555" max="556" width="5.28515625" style="1320" customWidth="1"/>
    <col min="557" max="560" width="9.85546875" style="1320" customWidth="1"/>
    <col min="561" max="561" width="3.85546875" style="1320" customWidth="1"/>
    <col min="562" max="562" width="9.85546875" style="1320" customWidth="1"/>
    <col min="563" max="563" width="5.28515625" style="1320" customWidth="1"/>
    <col min="564" max="564" width="6" style="1320" customWidth="1"/>
    <col min="565" max="566" width="9.85546875" style="1320" customWidth="1"/>
    <col min="567" max="568" width="5.28515625" style="1320" customWidth="1"/>
    <col min="569" max="572" width="9.85546875" style="1320" customWidth="1"/>
    <col min="573" max="573" width="3.85546875" style="1320" customWidth="1"/>
    <col min="574" max="574" width="8.140625" style="1320" customWidth="1"/>
    <col min="575" max="575" width="8.7109375" style="1320" customWidth="1"/>
    <col min="576" max="576" width="12.85546875" style="1320" customWidth="1"/>
    <col min="577" max="577" width="12.42578125" style="1320" customWidth="1"/>
    <col min="578" max="579" width="5.28515625" style="1320" customWidth="1"/>
    <col min="580" max="581" width="9.85546875" style="1320" customWidth="1"/>
    <col min="582" max="583" width="4.7109375" style="1320" customWidth="1"/>
    <col min="584" max="584" width="9.28515625" style="1320" customWidth="1"/>
    <col min="585" max="585" width="3.85546875" style="1320" customWidth="1"/>
    <col min="586" max="589" width="9.85546875" style="1320" customWidth="1"/>
    <col min="590" max="591" width="5.28515625" style="1320" customWidth="1"/>
    <col min="592" max="594" width="9.85546875" style="1320" customWidth="1"/>
    <col min="595" max="595" width="9.140625" style="1320" customWidth="1"/>
    <col min="596" max="596" width="8.140625" style="1320" customWidth="1"/>
    <col min="597" max="597" width="9.5703125" style="1320" customWidth="1"/>
    <col min="598" max="598" width="13.140625" style="1320" customWidth="1"/>
    <col min="599" max="599" width="11.7109375" style="1320" customWidth="1"/>
    <col min="600" max="601" width="2.42578125" style="1320" customWidth="1"/>
    <col min="602" max="602" width="11.5703125" style="1320" customWidth="1"/>
    <col min="603" max="603" width="12.7109375" style="1320" customWidth="1"/>
    <col min="604" max="604" width="8.28515625" style="1320" customWidth="1"/>
    <col min="605" max="605" width="10.5703125" style="1320" customWidth="1"/>
    <col min="606" max="606" width="3.85546875" style="1320" customWidth="1"/>
    <col min="607" max="607" width="8.140625" style="1320" customWidth="1"/>
    <col min="608" max="608" width="9.5703125" style="1320" customWidth="1"/>
    <col min="609" max="609" width="13.140625" style="1320" customWidth="1"/>
    <col min="610" max="794" width="11.42578125" style="1320"/>
    <col min="795" max="795" width="2.85546875" style="1320" customWidth="1"/>
    <col min="796" max="796" width="10.85546875" style="1320" customWidth="1"/>
    <col min="797" max="797" width="10.28515625" style="1320" customWidth="1"/>
    <col min="798" max="798" width="10.5703125" style="1320" customWidth="1"/>
    <col min="799" max="799" width="11.85546875" style="1320" customWidth="1"/>
    <col min="800" max="800" width="7.5703125" style="1320" customWidth="1"/>
    <col min="801" max="803" width="10.28515625" style="1320" customWidth="1"/>
    <col min="804" max="804" width="9.85546875" style="1320" customWidth="1"/>
    <col min="805" max="805" width="0.28515625" style="1320" customWidth="1"/>
    <col min="806" max="806" width="3.85546875" style="1320" customWidth="1"/>
    <col min="807" max="810" width="9.85546875" style="1320" customWidth="1"/>
    <col min="811" max="812" width="5.28515625" style="1320" customWidth="1"/>
    <col min="813" max="816" width="9.85546875" style="1320" customWidth="1"/>
    <col min="817" max="817" width="3.85546875" style="1320" customWidth="1"/>
    <col min="818" max="818" width="9.85546875" style="1320" customWidth="1"/>
    <col min="819" max="819" width="5.28515625" style="1320" customWidth="1"/>
    <col min="820" max="820" width="6" style="1320" customWidth="1"/>
    <col min="821" max="822" width="9.85546875" style="1320" customWidth="1"/>
    <col min="823" max="824" width="5.28515625" style="1320" customWidth="1"/>
    <col min="825" max="828" width="9.85546875" style="1320" customWidth="1"/>
    <col min="829" max="829" width="3.85546875" style="1320" customWidth="1"/>
    <col min="830" max="830" width="8.140625" style="1320" customWidth="1"/>
    <col min="831" max="831" width="8.7109375" style="1320" customWidth="1"/>
    <col min="832" max="832" width="12.85546875" style="1320" customWidth="1"/>
    <col min="833" max="833" width="12.42578125" style="1320" customWidth="1"/>
    <col min="834" max="835" width="5.28515625" style="1320" customWidth="1"/>
    <col min="836" max="837" width="9.85546875" style="1320" customWidth="1"/>
    <col min="838" max="839" width="4.7109375" style="1320" customWidth="1"/>
    <col min="840" max="840" width="9.28515625" style="1320" customWidth="1"/>
    <col min="841" max="841" width="3.85546875" style="1320" customWidth="1"/>
    <col min="842" max="845" width="9.85546875" style="1320" customWidth="1"/>
    <col min="846" max="847" width="5.28515625" style="1320" customWidth="1"/>
    <col min="848" max="850" width="9.85546875" style="1320" customWidth="1"/>
    <col min="851" max="851" width="9.140625" style="1320" customWidth="1"/>
    <col min="852" max="852" width="8.140625" style="1320" customWidth="1"/>
    <col min="853" max="853" width="9.5703125" style="1320" customWidth="1"/>
    <col min="854" max="854" width="13.140625" style="1320" customWidth="1"/>
    <col min="855" max="855" width="11.7109375" style="1320" customWidth="1"/>
    <col min="856" max="857" width="2.42578125" style="1320" customWidth="1"/>
    <col min="858" max="858" width="11.5703125" style="1320" customWidth="1"/>
    <col min="859" max="859" width="12.7109375" style="1320" customWidth="1"/>
    <col min="860" max="860" width="8.28515625" style="1320" customWidth="1"/>
    <col min="861" max="861" width="10.5703125" style="1320" customWidth="1"/>
    <col min="862" max="862" width="3.85546875" style="1320" customWidth="1"/>
    <col min="863" max="863" width="8.140625" style="1320" customWidth="1"/>
    <col min="864" max="864" width="9.5703125" style="1320" customWidth="1"/>
    <col min="865" max="865" width="13.140625" style="1320" customWidth="1"/>
    <col min="866" max="1050" width="11.42578125" style="1320"/>
    <col min="1051" max="1051" width="2.85546875" style="1320" customWidth="1"/>
    <col min="1052" max="1052" width="10.85546875" style="1320" customWidth="1"/>
    <col min="1053" max="1053" width="10.28515625" style="1320" customWidth="1"/>
    <col min="1054" max="1054" width="10.5703125" style="1320" customWidth="1"/>
    <col min="1055" max="1055" width="11.85546875" style="1320" customWidth="1"/>
    <col min="1056" max="1056" width="7.5703125" style="1320" customWidth="1"/>
    <col min="1057" max="1059" width="10.28515625" style="1320" customWidth="1"/>
    <col min="1060" max="1060" width="9.85546875" style="1320" customWidth="1"/>
    <col min="1061" max="1061" width="0.28515625" style="1320" customWidth="1"/>
    <col min="1062" max="1062" width="3.85546875" style="1320" customWidth="1"/>
    <col min="1063" max="1066" width="9.85546875" style="1320" customWidth="1"/>
    <col min="1067" max="1068" width="5.28515625" style="1320" customWidth="1"/>
    <col min="1069" max="1072" width="9.85546875" style="1320" customWidth="1"/>
    <col min="1073" max="1073" width="3.85546875" style="1320" customWidth="1"/>
    <col min="1074" max="1074" width="9.85546875" style="1320" customWidth="1"/>
    <col min="1075" max="1075" width="5.28515625" style="1320" customWidth="1"/>
    <col min="1076" max="1076" width="6" style="1320" customWidth="1"/>
    <col min="1077" max="1078" width="9.85546875" style="1320" customWidth="1"/>
    <col min="1079" max="1080" width="5.28515625" style="1320" customWidth="1"/>
    <col min="1081" max="1084" width="9.85546875" style="1320" customWidth="1"/>
    <col min="1085" max="1085" width="3.85546875" style="1320" customWidth="1"/>
    <col min="1086" max="1086" width="8.140625" style="1320" customWidth="1"/>
    <col min="1087" max="1087" width="8.7109375" style="1320" customWidth="1"/>
    <col min="1088" max="1088" width="12.85546875" style="1320" customWidth="1"/>
    <col min="1089" max="1089" width="12.42578125" style="1320" customWidth="1"/>
    <col min="1090" max="1091" width="5.28515625" style="1320" customWidth="1"/>
    <col min="1092" max="1093" width="9.85546875" style="1320" customWidth="1"/>
    <col min="1094" max="1095" width="4.7109375" style="1320" customWidth="1"/>
    <col min="1096" max="1096" width="9.28515625" style="1320" customWidth="1"/>
    <col min="1097" max="1097" width="3.85546875" style="1320" customWidth="1"/>
    <col min="1098" max="1101" width="9.85546875" style="1320" customWidth="1"/>
    <col min="1102" max="1103" width="5.28515625" style="1320" customWidth="1"/>
    <col min="1104" max="1106" width="9.85546875" style="1320" customWidth="1"/>
    <col min="1107" max="1107" width="9.140625" style="1320" customWidth="1"/>
    <col min="1108" max="1108" width="8.140625" style="1320" customWidth="1"/>
    <col min="1109" max="1109" width="9.5703125" style="1320" customWidth="1"/>
    <col min="1110" max="1110" width="13.140625" style="1320" customWidth="1"/>
    <col min="1111" max="1111" width="11.7109375" style="1320" customWidth="1"/>
    <col min="1112" max="1113" width="2.42578125" style="1320" customWidth="1"/>
    <col min="1114" max="1114" width="11.5703125" style="1320" customWidth="1"/>
    <col min="1115" max="1115" width="12.7109375" style="1320" customWidth="1"/>
    <col min="1116" max="1116" width="8.28515625" style="1320" customWidth="1"/>
    <col min="1117" max="1117" width="10.5703125" style="1320" customWidth="1"/>
    <col min="1118" max="1118" width="3.85546875" style="1320" customWidth="1"/>
    <col min="1119" max="1119" width="8.140625" style="1320" customWidth="1"/>
    <col min="1120" max="1120" width="9.5703125" style="1320" customWidth="1"/>
    <col min="1121" max="1121" width="13.140625" style="1320" customWidth="1"/>
    <col min="1122" max="1306" width="11.42578125" style="1320"/>
    <col min="1307" max="1307" width="2.85546875" style="1320" customWidth="1"/>
    <col min="1308" max="1308" width="10.85546875" style="1320" customWidth="1"/>
    <col min="1309" max="1309" width="10.28515625" style="1320" customWidth="1"/>
    <col min="1310" max="1310" width="10.5703125" style="1320" customWidth="1"/>
    <col min="1311" max="1311" width="11.85546875" style="1320" customWidth="1"/>
    <col min="1312" max="1312" width="7.5703125" style="1320" customWidth="1"/>
    <col min="1313" max="1315" width="10.28515625" style="1320" customWidth="1"/>
    <col min="1316" max="1316" width="9.85546875" style="1320" customWidth="1"/>
    <col min="1317" max="1317" width="0.28515625" style="1320" customWidth="1"/>
    <col min="1318" max="1318" width="3.85546875" style="1320" customWidth="1"/>
    <col min="1319" max="1322" width="9.85546875" style="1320" customWidth="1"/>
    <col min="1323" max="1324" width="5.28515625" style="1320" customWidth="1"/>
    <col min="1325" max="1328" width="9.85546875" style="1320" customWidth="1"/>
    <col min="1329" max="1329" width="3.85546875" style="1320" customWidth="1"/>
    <col min="1330" max="1330" width="9.85546875" style="1320" customWidth="1"/>
    <col min="1331" max="1331" width="5.28515625" style="1320" customWidth="1"/>
    <col min="1332" max="1332" width="6" style="1320" customWidth="1"/>
    <col min="1333" max="1334" width="9.85546875" style="1320" customWidth="1"/>
    <col min="1335" max="1336" width="5.28515625" style="1320" customWidth="1"/>
    <col min="1337" max="1340" width="9.85546875" style="1320" customWidth="1"/>
    <col min="1341" max="1341" width="3.85546875" style="1320" customWidth="1"/>
    <col min="1342" max="1342" width="8.140625" style="1320" customWidth="1"/>
    <col min="1343" max="1343" width="8.7109375" style="1320" customWidth="1"/>
    <col min="1344" max="1344" width="12.85546875" style="1320" customWidth="1"/>
    <col min="1345" max="1345" width="12.42578125" style="1320" customWidth="1"/>
    <col min="1346" max="1347" width="5.28515625" style="1320" customWidth="1"/>
    <col min="1348" max="1349" width="9.85546875" style="1320" customWidth="1"/>
    <col min="1350" max="1351" width="4.7109375" style="1320" customWidth="1"/>
    <col min="1352" max="1352" width="9.28515625" style="1320" customWidth="1"/>
    <col min="1353" max="1353" width="3.85546875" style="1320" customWidth="1"/>
    <col min="1354" max="1357" width="9.85546875" style="1320" customWidth="1"/>
    <col min="1358" max="1359" width="5.28515625" style="1320" customWidth="1"/>
    <col min="1360" max="1362" width="9.85546875" style="1320" customWidth="1"/>
    <col min="1363" max="1363" width="9.140625" style="1320" customWidth="1"/>
    <col min="1364" max="1364" width="8.140625" style="1320" customWidth="1"/>
    <col min="1365" max="1365" width="9.5703125" style="1320" customWidth="1"/>
    <col min="1366" max="1366" width="13.140625" style="1320" customWidth="1"/>
    <col min="1367" max="1367" width="11.7109375" style="1320" customWidth="1"/>
    <col min="1368" max="1369" width="2.42578125" style="1320" customWidth="1"/>
    <col min="1370" max="1370" width="11.5703125" style="1320" customWidth="1"/>
    <col min="1371" max="1371" width="12.7109375" style="1320" customWidth="1"/>
    <col min="1372" max="1372" width="8.28515625" style="1320" customWidth="1"/>
    <col min="1373" max="1373" width="10.5703125" style="1320" customWidth="1"/>
    <col min="1374" max="1374" width="3.85546875" style="1320" customWidth="1"/>
    <col min="1375" max="1375" width="8.140625" style="1320" customWidth="1"/>
    <col min="1376" max="1376" width="9.5703125" style="1320" customWidth="1"/>
    <col min="1377" max="1377" width="13.140625" style="1320" customWidth="1"/>
    <col min="1378" max="1562" width="11.42578125" style="1320"/>
    <col min="1563" max="1563" width="2.85546875" style="1320" customWidth="1"/>
    <col min="1564" max="1564" width="10.85546875" style="1320" customWidth="1"/>
    <col min="1565" max="1565" width="10.28515625" style="1320" customWidth="1"/>
    <col min="1566" max="1566" width="10.5703125" style="1320" customWidth="1"/>
    <col min="1567" max="1567" width="11.85546875" style="1320" customWidth="1"/>
    <col min="1568" max="1568" width="7.5703125" style="1320" customWidth="1"/>
    <col min="1569" max="1571" width="10.28515625" style="1320" customWidth="1"/>
    <col min="1572" max="1572" width="9.85546875" style="1320" customWidth="1"/>
    <col min="1573" max="1573" width="0.28515625" style="1320" customWidth="1"/>
    <col min="1574" max="1574" width="3.85546875" style="1320" customWidth="1"/>
    <col min="1575" max="1578" width="9.85546875" style="1320" customWidth="1"/>
    <col min="1579" max="1580" width="5.28515625" style="1320" customWidth="1"/>
    <col min="1581" max="1584" width="9.85546875" style="1320" customWidth="1"/>
    <col min="1585" max="1585" width="3.85546875" style="1320" customWidth="1"/>
    <col min="1586" max="1586" width="9.85546875" style="1320" customWidth="1"/>
    <col min="1587" max="1587" width="5.28515625" style="1320" customWidth="1"/>
    <col min="1588" max="1588" width="6" style="1320" customWidth="1"/>
    <col min="1589" max="1590" width="9.85546875" style="1320" customWidth="1"/>
    <col min="1591" max="1592" width="5.28515625" style="1320" customWidth="1"/>
    <col min="1593" max="1596" width="9.85546875" style="1320" customWidth="1"/>
    <col min="1597" max="1597" width="3.85546875" style="1320" customWidth="1"/>
    <col min="1598" max="1598" width="8.140625" style="1320" customWidth="1"/>
    <col min="1599" max="1599" width="8.7109375" style="1320" customWidth="1"/>
    <col min="1600" max="1600" width="12.85546875" style="1320" customWidth="1"/>
    <col min="1601" max="1601" width="12.42578125" style="1320" customWidth="1"/>
    <col min="1602" max="1603" width="5.28515625" style="1320" customWidth="1"/>
    <col min="1604" max="1605" width="9.85546875" style="1320" customWidth="1"/>
    <col min="1606" max="1607" width="4.7109375" style="1320" customWidth="1"/>
    <col min="1608" max="1608" width="9.28515625" style="1320" customWidth="1"/>
    <col min="1609" max="1609" width="3.85546875" style="1320" customWidth="1"/>
    <col min="1610" max="1613" width="9.85546875" style="1320" customWidth="1"/>
    <col min="1614" max="1615" width="5.28515625" style="1320" customWidth="1"/>
    <col min="1616" max="1618" width="9.85546875" style="1320" customWidth="1"/>
    <col min="1619" max="1619" width="9.140625" style="1320" customWidth="1"/>
    <col min="1620" max="1620" width="8.140625" style="1320" customWidth="1"/>
    <col min="1621" max="1621" width="9.5703125" style="1320" customWidth="1"/>
    <col min="1622" max="1622" width="13.140625" style="1320" customWidth="1"/>
    <col min="1623" max="1623" width="11.7109375" style="1320" customWidth="1"/>
    <col min="1624" max="1625" width="2.42578125" style="1320" customWidth="1"/>
    <col min="1626" max="1626" width="11.5703125" style="1320" customWidth="1"/>
    <col min="1627" max="1627" width="12.7109375" style="1320" customWidth="1"/>
    <col min="1628" max="1628" width="8.28515625" style="1320" customWidth="1"/>
    <col min="1629" max="1629" width="10.5703125" style="1320" customWidth="1"/>
    <col min="1630" max="1630" width="3.85546875" style="1320" customWidth="1"/>
    <col min="1631" max="1631" width="8.140625" style="1320" customWidth="1"/>
    <col min="1632" max="1632" width="9.5703125" style="1320" customWidth="1"/>
    <col min="1633" max="1633" width="13.140625" style="1320" customWidth="1"/>
    <col min="1634" max="1818" width="11.42578125" style="1320"/>
    <col min="1819" max="1819" width="2.85546875" style="1320" customWidth="1"/>
    <col min="1820" max="1820" width="10.85546875" style="1320" customWidth="1"/>
    <col min="1821" max="1821" width="10.28515625" style="1320" customWidth="1"/>
    <col min="1822" max="1822" width="10.5703125" style="1320" customWidth="1"/>
    <col min="1823" max="1823" width="11.85546875" style="1320" customWidth="1"/>
    <col min="1824" max="1824" width="7.5703125" style="1320" customWidth="1"/>
    <col min="1825" max="1827" width="10.28515625" style="1320" customWidth="1"/>
    <col min="1828" max="1828" width="9.85546875" style="1320" customWidth="1"/>
    <col min="1829" max="1829" width="0.28515625" style="1320" customWidth="1"/>
    <col min="1830" max="1830" width="3.85546875" style="1320" customWidth="1"/>
    <col min="1831" max="1834" width="9.85546875" style="1320" customWidth="1"/>
    <col min="1835" max="1836" width="5.28515625" style="1320" customWidth="1"/>
    <col min="1837" max="1840" width="9.85546875" style="1320" customWidth="1"/>
    <col min="1841" max="1841" width="3.85546875" style="1320" customWidth="1"/>
    <col min="1842" max="1842" width="9.85546875" style="1320" customWidth="1"/>
    <col min="1843" max="1843" width="5.28515625" style="1320" customWidth="1"/>
    <col min="1844" max="1844" width="6" style="1320" customWidth="1"/>
    <col min="1845" max="1846" width="9.85546875" style="1320" customWidth="1"/>
    <col min="1847" max="1848" width="5.28515625" style="1320" customWidth="1"/>
    <col min="1849" max="1852" width="9.85546875" style="1320" customWidth="1"/>
    <col min="1853" max="1853" width="3.85546875" style="1320" customWidth="1"/>
    <col min="1854" max="1854" width="8.140625" style="1320" customWidth="1"/>
    <col min="1855" max="1855" width="8.7109375" style="1320" customWidth="1"/>
    <col min="1856" max="1856" width="12.85546875" style="1320" customWidth="1"/>
    <col min="1857" max="1857" width="12.42578125" style="1320" customWidth="1"/>
    <col min="1858" max="1859" width="5.28515625" style="1320" customWidth="1"/>
    <col min="1860" max="1861" width="9.85546875" style="1320" customWidth="1"/>
    <col min="1862" max="1863" width="4.7109375" style="1320" customWidth="1"/>
    <col min="1864" max="1864" width="9.28515625" style="1320" customWidth="1"/>
    <col min="1865" max="1865" width="3.85546875" style="1320" customWidth="1"/>
    <col min="1866" max="1869" width="9.85546875" style="1320" customWidth="1"/>
    <col min="1870" max="1871" width="5.28515625" style="1320" customWidth="1"/>
    <col min="1872" max="1874" width="9.85546875" style="1320" customWidth="1"/>
    <col min="1875" max="1875" width="9.140625" style="1320" customWidth="1"/>
    <col min="1876" max="1876" width="8.140625" style="1320" customWidth="1"/>
    <col min="1877" max="1877" width="9.5703125" style="1320" customWidth="1"/>
    <col min="1878" max="1878" width="13.140625" style="1320" customWidth="1"/>
    <col min="1879" max="1879" width="11.7109375" style="1320" customWidth="1"/>
    <col min="1880" max="1881" width="2.42578125" style="1320" customWidth="1"/>
    <col min="1882" max="1882" width="11.5703125" style="1320" customWidth="1"/>
    <col min="1883" max="1883" width="12.7109375" style="1320" customWidth="1"/>
    <col min="1884" max="1884" width="8.28515625" style="1320" customWidth="1"/>
    <col min="1885" max="1885" width="10.5703125" style="1320" customWidth="1"/>
    <col min="1886" max="1886" width="3.85546875" style="1320" customWidth="1"/>
    <col min="1887" max="1887" width="8.140625" style="1320" customWidth="1"/>
    <col min="1888" max="1888" width="9.5703125" style="1320" customWidth="1"/>
    <col min="1889" max="1889" width="13.140625" style="1320" customWidth="1"/>
    <col min="1890" max="2074" width="11.42578125" style="1320"/>
    <col min="2075" max="2075" width="2.85546875" style="1320" customWidth="1"/>
    <col min="2076" max="2076" width="10.85546875" style="1320" customWidth="1"/>
    <col min="2077" max="2077" width="10.28515625" style="1320" customWidth="1"/>
    <col min="2078" max="2078" width="10.5703125" style="1320" customWidth="1"/>
    <col min="2079" max="2079" width="11.85546875" style="1320" customWidth="1"/>
    <col min="2080" max="2080" width="7.5703125" style="1320" customWidth="1"/>
    <col min="2081" max="2083" width="10.28515625" style="1320" customWidth="1"/>
    <col min="2084" max="2084" width="9.85546875" style="1320" customWidth="1"/>
    <col min="2085" max="2085" width="0.28515625" style="1320" customWidth="1"/>
    <col min="2086" max="2086" width="3.85546875" style="1320" customWidth="1"/>
    <col min="2087" max="2090" width="9.85546875" style="1320" customWidth="1"/>
    <col min="2091" max="2092" width="5.28515625" style="1320" customWidth="1"/>
    <col min="2093" max="2096" width="9.85546875" style="1320" customWidth="1"/>
    <col min="2097" max="2097" width="3.85546875" style="1320" customWidth="1"/>
    <col min="2098" max="2098" width="9.85546875" style="1320" customWidth="1"/>
    <col min="2099" max="2099" width="5.28515625" style="1320" customWidth="1"/>
    <col min="2100" max="2100" width="6" style="1320" customWidth="1"/>
    <col min="2101" max="2102" width="9.85546875" style="1320" customWidth="1"/>
    <col min="2103" max="2104" width="5.28515625" style="1320" customWidth="1"/>
    <col min="2105" max="2108" width="9.85546875" style="1320" customWidth="1"/>
    <col min="2109" max="2109" width="3.85546875" style="1320" customWidth="1"/>
    <col min="2110" max="2110" width="8.140625" style="1320" customWidth="1"/>
    <col min="2111" max="2111" width="8.7109375" style="1320" customWidth="1"/>
    <col min="2112" max="2112" width="12.85546875" style="1320" customWidth="1"/>
    <col min="2113" max="2113" width="12.42578125" style="1320" customWidth="1"/>
    <col min="2114" max="2115" width="5.28515625" style="1320" customWidth="1"/>
    <col min="2116" max="2117" width="9.85546875" style="1320" customWidth="1"/>
    <col min="2118" max="2119" width="4.7109375" style="1320" customWidth="1"/>
    <col min="2120" max="2120" width="9.28515625" style="1320" customWidth="1"/>
    <col min="2121" max="2121" width="3.85546875" style="1320" customWidth="1"/>
    <col min="2122" max="2125" width="9.85546875" style="1320" customWidth="1"/>
    <col min="2126" max="2127" width="5.28515625" style="1320" customWidth="1"/>
    <col min="2128" max="2130" width="9.85546875" style="1320" customWidth="1"/>
    <col min="2131" max="2131" width="9.140625" style="1320" customWidth="1"/>
    <col min="2132" max="2132" width="8.140625" style="1320" customWidth="1"/>
    <col min="2133" max="2133" width="9.5703125" style="1320" customWidth="1"/>
    <col min="2134" max="2134" width="13.140625" style="1320" customWidth="1"/>
    <col min="2135" max="2135" width="11.7109375" style="1320" customWidth="1"/>
    <col min="2136" max="2137" width="2.42578125" style="1320" customWidth="1"/>
    <col min="2138" max="2138" width="11.5703125" style="1320" customWidth="1"/>
    <col min="2139" max="2139" width="12.7109375" style="1320" customWidth="1"/>
    <col min="2140" max="2140" width="8.28515625" style="1320" customWidth="1"/>
    <col min="2141" max="2141" width="10.5703125" style="1320" customWidth="1"/>
    <col min="2142" max="2142" width="3.85546875" style="1320" customWidth="1"/>
    <col min="2143" max="2143" width="8.140625" style="1320" customWidth="1"/>
    <col min="2144" max="2144" width="9.5703125" style="1320" customWidth="1"/>
    <col min="2145" max="2145" width="13.140625" style="1320" customWidth="1"/>
    <col min="2146" max="2330" width="11.42578125" style="1320"/>
    <col min="2331" max="2331" width="2.85546875" style="1320" customWidth="1"/>
    <col min="2332" max="2332" width="10.85546875" style="1320" customWidth="1"/>
    <col min="2333" max="2333" width="10.28515625" style="1320" customWidth="1"/>
    <col min="2334" max="2334" width="10.5703125" style="1320" customWidth="1"/>
    <col min="2335" max="2335" width="11.85546875" style="1320" customWidth="1"/>
    <col min="2336" max="2336" width="7.5703125" style="1320" customWidth="1"/>
    <col min="2337" max="2339" width="10.28515625" style="1320" customWidth="1"/>
    <col min="2340" max="2340" width="9.85546875" style="1320" customWidth="1"/>
    <col min="2341" max="2341" width="0.28515625" style="1320" customWidth="1"/>
    <col min="2342" max="2342" width="3.85546875" style="1320" customWidth="1"/>
    <col min="2343" max="2346" width="9.85546875" style="1320" customWidth="1"/>
    <col min="2347" max="2348" width="5.28515625" style="1320" customWidth="1"/>
    <col min="2349" max="2352" width="9.85546875" style="1320" customWidth="1"/>
    <col min="2353" max="2353" width="3.85546875" style="1320" customWidth="1"/>
    <col min="2354" max="2354" width="9.85546875" style="1320" customWidth="1"/>
    <col min="2355" max="2355" width="5.28515625" style="1320" customWidth="1"/>
    <col min="2356" max="2356" width="6" style="1320" customWidth="1"/>
    <col min="2357" max="2358" width="9.85546875" style="1320" customWidth="1"/>
    <col min="2359" max="2360" width="5.28515625" style="1320" customWidth="1"/>
    <col min="2361" max="2364" width="9.85546875" style="1320" customWidth="1"/>
    <col min="2365" max="2365" width="3.85546875" style="1320" customWidth="1"/>
    <col min="2366" max="2366" width="8.140625" style="1320" customWidth="1"/>
    <col min="2367" max="2367" width="8.7109375" style="1320" customWidth="1"/>
    <col min="2368" max="2368" width="12.85546875" style="1320" customWidth="1"/>
    <col min="2369" max="2369" width="12.42578125" style="1320" customWidth="1"/>
    <col min="2370" max="2371" width="5.28515625" style="1320" customWidth="1"/>
    <col min="2372" max="2373" width="9.85546875" style="1320" customWidth="1"/>
    <col min="2374" max="2375" width="4.7109375" style="1320" customWidth="1"/>
    <col min="2376" max="2376" width="9.28515625" style="1320" customWidth="1"/>
    <col min="2377" max="2377" width="3.85546875" style="1320" customWidth="1"/>
    <col min="2378" max="2381" width="9.85546875" style="1320" customWidth="1"/>
    <col min="2382" max="2383" width="5.28515625" style="1320" customWidth="1"/>
    <col min="2384" max="2386" width="9.85546875" style="1320" customWidth="1"/>
    <col min="2387" max="2387" width="9.140625" style="1320" customWidth="1"/>
    <col min="2388" max="2388" width="8.140625" style="1320" customWidth="1"/>
    <col min="2389" max="2389" width="9.5703125" style="1320" customWidth="1"/>
    <col min="2390" max="2390" width="13.140625" style="1320" customWidth="1"/>
    <col min="2391" max="2391" width="11.7109375" style="1320" customWidth="1"/>
    <col min="2392" max="2393" width="2.42578125" style="1320" customWidth="1"/>
    <col min="2394" max="2394" width="11.5703125" style="1320" customWidth="1"/>
    <col min="2395" max="2395" width="12.7109375" style="1320" customWidth="1"/>
    <col min="2396" max="2396" width="8.28515625" style="1320" customWidth="1"/>
    <col min="2397" max="2397" width="10.5703125" style="1320" customWidth="1"/>
    <col min="2398" max="2398" width="3.85546875" style="1320" customWidth="1"/>
    <col min="2399" max="2399" width="8.140625" style="1320" customWidth="1"/>
    <col min="2400" max="2400" width="9.5703125" style="1320" customWidth="1"/>
    <col min="2401" max="2401" width="13.140625" style="1320" customWidth="1"/>
    <col min="2402" max="2586" width="11.42578125" style="1320"/>
    <col min="2587" max="2587" width="2.85546875" style="1320" customWidth="1"/>
    <col min="2588" max="2588" width="10.85546875" style="1320" customWidth="1"/>
    <col min="2589" max="2589" width="10.28515625" style="1320" customWidth="1"/>
    <col min="2590" max="2590" width="10.5703125" style="1320" customWidth="1"/>
    <col min="2591" max="2591" width="11.85546875" style="1320" customWidth="1"/>
    <col min="2592" max="2592" width="7.5703125" style="1320" customWidth="1"/>
    <col min="2593" max="2595" width="10.28515625" style="1320" customWidth="1"/>
    <col min="2596" max="2596" width="9.85546875" style="1320" customWidth="1"/>
    <col min="2597" max="2597" width="0.28515625" style="1320" customWidth="1"/>
    <col min="2598" max="2598" width="3.85546875" style="1320" customWidth="1"/>
    <col min="2599" max="2602" width="9.85546875" style="1320" customWidth="1"/>
    <col min="2603" max="2604" width="5.28515625" style="1320" customWidth="1"/>
    <col min="2605" max="2608" width="9.85546875" style="1320" customWidth="1"/>
    <col min="2609" max="2609" width="3.85546875" style="1320" customWidth="1"/>
    <col min="2610" max="2610" width="9.85546875" style="1320" customWidth="1"/>
    <col min="2611" max="2611" width="5.28515625" style="1320" customWidth="1"/>
    <col min="2612" max="2612" width="6" style="1320" customWidth="1"/>
    <col min="2613" max="2614" width="9.85546875" style="1320" customWidth="1"/>
    <col min="2615" max="2616" width="5.28515625" style="1320" customWidth="1"/>
    <col min="2617" max="2620" width="9.85546875" style="1320" customWidth="1"/>
    <col min="2621" max="2621" width="3.85546875" style="1320" customWidth="1"/>
    <col min="2622" max="2622" width="8.140625" style="1320" customWidth="1"/>
    <col min="2623" max="2623" width="8.7109375" style="1320" customWidth="1"/>
    <col min="2624" max="2624" width="12.85546875" style="1320" customWidth="1"/>
    <col min="2625" max="2625" width="12.42578125" style="1320" customWidth="1"/>
    <col min="2626" max="2627" width="5.28515625" style="1320" customWidth="1"/>
    <col min="2628" max="2629" width="9.85546875" style="1320" customWidth="1"/>
    <col min="2630" max="2631" width="4.7109375" style="1320" customWidth="1"/>
    <col min="2632" max="2632" width="9.28515625" style="1320" customWidth="1"/>
    <col min="2633" max="2633" width="3.85546875" style="1320" customWidth="1"/>
    <col min="2634" max="2637" width="9.85546875" style="1320" customWidth="1"/>
    <col min="2638" max="2639" width="5.28515625" style="1320" customWidth="1"/>
    <col min="2640" max="2642" width="9.85546875" style="1320" customWidth="1"/>
    <col min="2643" max="2643" width="9.140625" style="1320" customWidth="1"/>
    <col min="2644" max="2644" width="8.140625" style="1320" customWidth="1"/>
    <col min="2645" max="2645" width="9.5703125" style="1320" customWidth="1"/>
    <col min="2646" max="2646" width="13.140625" style="1320" customWidth="1"/>
    <col min="2647" max="2647" width="11.7109375" style="1320" customWidth="1"/>
    <col min="2648" max="2649" width="2.42578125" style="1320" customWidth="1"/>
    <col min="2650" max="2650" width="11.5703125" style="1320" customWidth="1"/>
    <col min="2651" max="2651" width="12.7109375" style="1320" customWidth="1"/>
    <col min="2652" max="2652" width="8.28515625" style="1320" customWidth="1"/>
    <col min="2653" max="2653" width="10.5703125" style="1320" customWidth="1"/>
    <col min="2654" max="2654" width="3.85546875" style="1320" customWidth="1"/>
    <col min="2655" max="2655" width="8.140625" style="1320" customWidth="1"/>
    <col min="2656" max="2656" width="9.5703125" style="1320" customWidth="1"/>
    <col min="2657" max="2657" width="13.140625" style="1320" customWidth="1"/>
    <col min="2658" max="2842" width="11.42578125" style="1320"/>
    <col min="2843" max="2843" width="2.85546875" style="1320" customWidth="1"/>
    <col min="2844" max="2844" width="10.85546875" style="1320" customWidth="1"/>
    <col min="2845" max="2845" width="10.28515625" style="1320" customWidth="1"/>
    <col min="2846" max="2846" width="10.5703125" style="1320" customWidth="1"/>
    <col min="2847" max="2847" width="11.85546875" style="1320" customWidth="1"/>
    <col min="2848" max="2848" width="7.5703125" style="1320" customWidth="1"/>
    <col min="2849" max="2851" width="10.28515625" style="1320" customWidth="1"/>
    <col min="2852" max="2852" width="9.85546875" style="1320" customWidth="1"/>
    <col min="2853" max="2853" width="0.28515625" style="1320" customWidth="1"/>
    <col min="2854" max="2854" width="3.85546875" style="1320" customWidth="1"/>
    <col min="2855" max="2858" width="9.85546875" style="1320" customWidth="1"/>
    <col min="2859" max="2860" width="5.28515625" style="1320" customWidth="1"/>
    <col min="2861" max="2864" width="9.85546875" style="1320" customWidth="1"/>
    <col min="2865" max="2865" width="3.85546875" style="1320" customWidth="1"/>
    <col min="2866" max="2866" width="9.85546875" style="1320" customWidth="1"/>
    <col min="2867" max="2867" width="5.28515625" style="1320" customWidth="1"/>
    <col min="2868" max="2868" width="6" style="1320" customWidth="1"/>
    <col min="2869" max="2870" width="9.85546875" style="1320" customWidth="1"/>
    <col min="2871" max="2872" width="5.28515625" style="1320" customWidth="1"/>
    <col min="2873" max="2876" width="9.85546875" style="1320" customWidth="1"/>
    <col min="2877" max="2877" width="3.85546875" style="1320" customWidth="1"/>
    <col min="2878" max="2878" width="8.140625" style="1320" customWidth="1"/>
    <col min="2879" max="2879" width="8.7109375" style="1320" customWidth="1"/>
    <col min="2880" max="2880" width="12.85546875" style="1320" customWidth="1"/>
    <col min="2881" max="2881" width="12.42578125" style="1320" customWidth="1"/>
    <col min="2882" max="2883" width="5.28515625" style="1320" customWidth="1"/>
    <col min="2884" max="2885" width="9.85546875" style="1320" customWidth="1"/>
    <col min="2886" max="2887" width="4.7109375" style="1320" customWidth="1"/>
    <col min="2888" max="2888" width="9.28515625" style="1320" customWidth="1"/>
    <col min="2889" max="2889" width="3.85546875" style="1320" customWidth="1"/>
    <col min="2890" max="2893" width="9.85546875" style="1320" customWidth="1"/>
    <col min="2894" max="2895" width="5.28515625" style="1320" customWidth="1"/>
    <col min="2896" max="2898" width="9.85546875" style="1320" customWidth="1"/>
    <col min="2899" max="2899" width="9.140625" style="1320" customWidth="1"/>
    <col min="2900" max="2900" width="8.140625" style="1320" customWidth="1"/>
    <col min="2901" max="2901" width="9.5703125" style="1320" customWidth="1"/>
    <col min="2902" max="2902" width="13.140625" style="1320" customWidth="1"/>
    <col min="2903" max="2903" width="11.7109375" style="1320" customWidth="1"/>
    <col min="2904" max="2905" width="2.42578125" style="1320" customWidth="1"/>
    <col min="2906" max="2906" width="11.5703125" style="1320" customWidth="1"/>
    <col min="2907" max="2907" width="12.7109375" style="1320" customWidth="1"/>
    <col min="2908" max="2908" width="8.28515625" style="1320" customWidth="1"/>
    <col min="2909" max="2909" width="10.5703125" style="1320" customWidth="1"/>
    <col min="2910" max="2910" width="3.85546875" style="1320" customWidth="1"/>
    <col min="2911" max="2911" width="8.140625" style="1320" customWidth="1"/>
    <col min="2912" max="2912" width="9.5703125" style="1320" customWidth="1"/>
    <col min="2913" max="2913" width="13.140625" style="1320" customWidth="1"/>
    <col min="2914" max="3098" width="11.42578125" style="1320"/>
    <col min="3099" max="3099" width="2.85546875" style="1320" customWidth="1"/>
    <col min="3100" max="3100" width="10.85546875" style="1320" customWidth="1"/>
    <col min="3101" max="3101" width="10.28515625" style="1320" customWidth="1"/>
    <col min="3102" max="3102" width="10.5703125" style="1320" customWidth="1"/>
    <col min="3103" max="3103" width="11.85546875" style="1320" customWidth="1"/>
    <col min="3104" max="3104" width="7.5703125" style="1320" customWidth="1"/>
    <col min="3105" max="3107" width="10.28515625" style="1320" customWidth="1"/>
    <col min="3108" max="3108" width="9.85546875" style="1320" customWidth="1"/>
    <col min="3109" max="3109" width="0.28515625" style="1320" customWidth="1"/>
    <col min="3110" max="3110" width="3.85546875" style="1320" customWidth="1"/>
    <col min="3111" max="3114" width="9.85546875" style="1320" customWidth="1"/>
    <col min="3115" max="3116" width="5.28515625" style="1320" customWidth="1"/>
    <col min="3117" max="3120" width="9.85546875" style="1320" customWidth="1"/>
    <col min="3121" max="3121" width="3.85546875" style="1320" customWidth="1"/>
    <col min="3122" max="3122" width="9.85546875" style="1320" customWidth="1"/>
    <col min="3123" max="3123" width="5.28515625" style="1320" customWidth="1"/>
    <col min="3124" max="3124" width="6" style="1320" customWidth="1"/>
    <col min="3125" max="3126" width="9.85546875" style="1320" customWidth="1"/>
    <col min="3127" max="3128" width="5.28515625" style="1320" customWidth="1"/>
    <col min="3129" max="3132" width="9.85546875" style="1320" customWidth="1"/>
    <col min="3133" max="3133" width="3.85546875" style="1320" customWidth="1"/>
    <col min="3134" max="3134" width="8.140625" style="1320" customWidth="1"/>
    <col min="3135" max="3135" width="8.7109375" style="1320" customWidth="1"/>
    <col min="3136" max="3136" width="12.85546875" style="1320" customWidth="1"/>
    <col min="3137" max="3137" width="12.42578125" style="1320" customWidth="1"/>
    <col min="3138" max="3139" width="5.28515625" style="1320" customWidth="1"/>
    <col min="3140" max="3141" width="9.85546875" style="1320" customWidth="1"/>
    <col min="3142" max="3143" width="4.7109375" style="1320" customWidth="1"/>
    <col min="3144" max="3144" width="9.28515625" style="1320" customWidth="1"/>
    <col min="3145" max="3145" width="3.85546875" style="1320" customWidth="1"/>
    <col min="3146" max="3149" width="9.85546875" style="1320" customWidth="1"/>
    <col min="3150" max="3151" width="5.28515625" style="1320" customWidth="1"/>
    <col min="3152" max="3154" width="9.85546875" style="1320" customWidth="1"/>
    <col min="3155" max="3155" width="9.140625" style="1320" customWidth="1"/>
    <col min="3156" max="3156" width="8.140625" style="1320" customWidth="1"/>
    <col min="3157" max="3157" width="9.5703125" style="1320" customWidth="1"/>
    <col min="3158" max="3158" width="13.140625" style="1320" customWidth="1"/>
    <col min="3159" max="3159" width="11.7109375" style="1320" customWidth="1"/>
    <col min="3160" max="3161" width="2.42578125" style="1320" customWidth="1"/>
    <col min="3162" max="3162" width="11.5703125" style="1320" customWidth="1"/>
    <col min="3163" max="3163" width="12.7109375" style="1320" customWidth="1"/>
    <col min="3164" max="3164" width="8.28515625" style="1320" customWidth="1"/>
    <col min="3165" max="3165" width="10.5703125" style="1320" customWidth="1"/>
    <col min="3166" max="3166" width="3.85546875" style="1320" customWidth="1"/>
    <col min="3167" max="3167" width="8.140625" style="1320" customWidth="1"/>
    <col min="3168" max="3168" width="9.5703125" style="1320" customWidth="1"/>
    <col min="3169" max="3169" width="13.140625" style="1320" customWidth="1"/>
    <col min="3170" max="3354" width="11.42578125" style="1320"/>
    <col min="3355" max="3355" width="2.85546875" style="1320" customWidth="1"/>
    <col min="3356" max="3356" width="10.85546875" style="1320" customWidth="1"/>
    <col min="3357" max="3357" width="10.28515625" style="1320" customWidth="1"/>
    <col min="3358" max="3358" width="10.5703125" style="1320" customWidth="1"/>
    <col min="3359" max="3359" width="11.85546875" style="1320" customWidth="1"/>
    <col min="3360" max="3360" width="7.5703125" style="1320" customWidth="1"/>
    <col min="3361" max="3363" width="10.28515625" style="1320" customWidth="1"/>
    <col min="3364" max="3364" width="9.85546875" style="1320" customWidth="1"/>
    <col min="3365" max="3365" width="0.28515625" style="1320" customWidth="1"/>
    <col min="3366" max="3366" width="3.85546875" style="1320" customWidth="1"/>
    <col min="3367" max="3370" width="9.85546875" style="1320" customWidth="1"/>
    <col min="3371" max="3372" width="5.28515625" style="1320" customWidth="1"/>
    <col min="3373" max="3376" width="9.85546875" style="1320" customWidth="1"/>
    <col min="3377" max="3377" width="3.85546875" style="1320" customWidth="1"/>
    <col min="3378" max="3378" width="9.85546875" style="1320" customWidth="1"/>
    <col min="3379" max="3379" width="5.28515625" style="1320" customWidth="1"/>
    <col min="3380" max="3380" width="6" style="1320" customWidth="1"/>
    <col min="3381" max="3382" width="9.85546875" style="1320" customWidth="1"/>
    <col min="3383" max="3384" width="5.28515625" style="1320" customWidth="1"/>
    <col min="3385" max="3388" width="9.85546875" style="1320" customWidth="1"/>
    <col min="3389" max="3389" width="3.85546875" style="1320" customWidth="1"/>
    <col min="3390" max="3390" width="8.140625" style="1320" customWidth="1"/>
    <col min="3391" max="3391" width="8.7109375" style="1320" customWidth="1"/>
    <col min="3392" max="3392" width="12.85546875" style="1320" customWidth="1"/>
    <col min="3393" max="3393" width="12.42578125" style="1320" customWidth="1"/>
    <col min="3394" max="3395" width="5.28515625" style="1320" customWidth="1"/>
    <col min="3396" max="3397" width="9.85546875" style="1320" customWidth="1"/>
    <col min="3398" max="3399" width="4.7109375" style="1320" customWidth="1"/>
    <col min="3400" max="3400" width="9.28515625" style="1320" customWidth="1"/>
    <col min="3401" max="3401" width="3.85546875" style="1320" customWidth="1"/>
    <col min="3402" max="3405" width="9.85546875" style="1320" customWidth="1"/>
    <col min="3406" max="3407" width="5.28515625" style="1320" customWidth="1"/>
    <col min="3408" max="3410" width="9.85546875" style="1320" customWidth="1"/>
    <col min="3411" max="3411" width="9.140625" style="1320" customWidth="1"/>
    <col min="3412" max="3412" width="8.140625" style="1320" customWidth="1"/>
    <col min="3413" max="3413" width="9.5703125" style="1320" customWidth="1"/>
    <col min="3414" max="3414" width="13.140625" style="1320" customWidth="1"/>
    <col min="3415" max="3415" width="11.7109375" style="1320" customWidth="1"/>
    <col min="3416" max="3417" width="2.42578125" style="1320" customWidth="1"/>
    <col min="3418" max="3418" width="11.5703125" style="1320" customWidth="1"/>
    <col min="3419" max="3419" width="12.7109375" style="1320" customWidth="1"/>
    <col min="3420" max="3420" width="8.28515625" style="1320" customWidth="1"/>
    <col min="3421" max="3421" width="10.5703125" style="1320" customWidth="1"/>
    <col min="3422" max="3422" width="3.85546875" style="1320" customWidth="1"/>
    <col min="3423" max="3423" width="8.140625" style="1320" customWidth="1"/>
    <col min="3424" max="3424" width="9.5703125" style="1320" customWidth="1"/>
    <col min="3425" max="3425" width="13.140625" style="1320" customWidth="1"/>
    <col min="3426" max="3610" width="11.42578125" style="1320"/>
    <col min="3611" max="3611" width="2.85546875" style="1320" customWidth="1"/>
    <col min="3612" max="3612" width="10.85546875" style="1320" customWidth="1"/>
    <col min="3613" max="3613" width="10.28515625" style="1320" customWidth="1"/>
    <col min="3614" max="3614" width="10.5703125" style="1320" customWidth="1"/>
    <col min="3615" max="3615" width="11.85546875" style="1320" customWidth="1"/>
    <col min="3616" max="3616" width="7.5703125" style="1320" customWidth="1"/>
    <col min="3617" max="3619" width="10.28515625" style="1320" customWidth="1"/>
    <col min="3620" max="3620" width="9.85546875" style="1320" customWidth="1"/>
    <col min="3621" max="3621" width="0.28515625" style="1320" customWidth="1"/>
    <col min="3622" max="3622" width="3.85546875" style="1320" customWidth="1"/>
    <col min="3623" max="3626" width="9.85546875" style="1320" customWidth="1"/>
    <col min="3627" max="3628" width="5.28515625" style="1320" customWidth="1"/>
    <col min="3629" max="3632" width="9.85546875" style="1320" customWidth="1"/>
    <col min="3633" max="3633" width="3.85546875" style="1320" customWidth="1"/>
    <col min="3634" max="3634" width="9.85546875" style="1320" customWidth="1"/>
    <col min="3635" max="3635" width="5.28515625" style="1320" customWidth="1"/>
    <col min="3636" max="3636" width="6" style="1320" customWidth="1"/>
    <col min="3637" max="3638" width="9.85546875" style="1320" customWidth="1"/>
    <col min="3639" max="3640" width="5.28515625" style="1320" customWidth="1"/>
    <col min="3641" max="3644" width="9.85546875" style="1320" customWidth="1"/>
    <col min="3645" max="3645" width="3.85546875" style="1320" customWidth="1"/>
    <col min="3646" max="3646" width="8.140625" style="1320" customWidth="1"/>
    <col min="3647" max="3647" width="8.7109375" style="1320" customWidth="1"/>
    <col min="3648" max="3648" width="12.85546875" style="1320" customWidth="1"/>
    <col min="3649" max="3649" width="12.42578125" style="1320" customWidth="1"/>
    <col min="3650" max="3651" width="5.28515625" style="1320" customWidth="1"/>
    <col min="3652" max="3653" width="9.85546875" style="1320" customWidth="1"/>
    <col min="3654" max="3655" width="4.7109375" style="1320" customWidth="1"/>
    <col min="3656" max="3656" width="9.28515625" style="1320" customWidth="1"/>
    <col min="3657" max="3657" width="3.85546875" style="1320" customWidth="1"/>
    <col min="3658" max="3661" width="9.85546875" style="1320" customWidth="1"/>
    <col min="3662" max="3663" width="5.28515625" style="1320" customWidth="1"/>
    <col min="3664" max="3666" width="9.85546875" style="1320" customWidth="1"/>
    <col min="3667" max="3667" width="9.140625" style="1320" customWidth="1"/>
    <col min="3668" max="3668" width="8.140625" style="1320" customWidth="1"/>
    <col min="3669" max="3669" width="9.5703125" style="1320" customWidth="1"/>
    <col min="3670" max="3670" width="13.140625" style="1320" customWidth="1"/>
    <col min="3671" max="3671" width="11.7109375" style="1320" customWidth="1"/>
    <col min="3672" max="3673" width="2.42578125" style="1320" customWidth="1"/>
    <col min="3674" max="3674" width="11.5703125" style="1320" customWidth="1"/>
    <col min="3675" max="3675" width="12.7109375" style="1320" customWidth="1"/>
    <col min="3676" max="3676" width="8.28515625" style="1320" customWidth="1"/>
    <col min="3677" max="3677" width="10.5703125" style="1320" customWidth="1"/>
    <col min="3678" max="3678" width="3.85546875" style="1320" customWidth="1"/>
    <col min="3679" max="3679" width="8.140625" style="1320" customWidth="1"/>
    <col min="3680" max="3680" width="9.5703125" style="1320" customWidth="1"/>
    <col min="3681" max="3681" width="13.140625" style="1320" customWidth="1"/>
    <col min="3682" max="3866" width="11.42578125" style="1320"/>
    <col min="3867" max="3867" width="2.85546875" style="1320" customWidth="1"/>
    <col min="3868" max="3868" width="10.85546875" style="1320" customWidth="1"/>
    <col min="3869" max="3869" width="10.28515625" style="1320" customWidth="1"/>
    <col min="3870" max="3870" width="10.5703125" style="1320" customWidth="1"/>
    <col min="3871" max="3871" width="11.85546875" style="1320" customWidth="1"/>
    <col min="3872" max="3872" width="7.5703125" style="1320" customWidth="1"/>
    <col min="3873" max="3875" width="10.28515625" style="1320" customWidth="1"/>
    <col min="3876" max="3876" width="9.85546875" style="1320" customWidth="1"/>
    <col min="3877" max="3877" width="0.28515625" style="1320" customWidth="1"/>
    <col min="3878" max="3878" width="3.85546875" style="1320" customWidth="1"/>
    <col min="3879" max="3882" width="9.85546875" style="1320" customWidth="1"/>
    <col min="3883" max="3884" width="5.28515625" style="1320" customWidth="1"/>
    <col min="3885" max="3888" width="9.85546875" style="1320" customWidth="1"/>
    <col min="3889" max="3889" width="3.85546875" style="1320" customWidth="1"/>
    <col min="3890" max="3890" width="9.85546875" style="1320" customWidth="1"/>
    <col min="3891" max="3891" width="5.28515625" style="1320" customWidth="1"/>
    <col min="3892" max="3892" width="6" style="1320" customWidth="1"/>
    <col min="3893" max="3894" width="9.85546875" style="1320" customWidth="1"/>
    <col min="3895" max="3896" width="5.28515625" style="1320" customWidth="1"/>
    <col min="3897" max="3900" width="9.85546875" style="1320" customWidth="1"/>
    <col min="3901" max="3901" width="3.85546875" style="1320" customWidth="1"/>
    <col min="3902" max="3902" width="8.140625" style="1320" customWidth="1"/>
    <col min="3903" max="3903" width="8.7109375" style="1320" customWidth="1"/>
    <col min="3904" max="3904" width="12.85546875" style="1320" customWidth="1"/>
    <col min="3905" max="3905" width="12.42578125" style="1320" customWidth="1"/>
    <col min="3906" max="3907" width="5.28515625" style="1320" customWidth="1"/>
    <col min="3908" max="3909" width="9.85546875" style="1320" customWidth="1"/>
    <col min="3910" max="3911" width="4.7109375" style="1320" customWidth="1"/>
    <col min="3912" max="3912" width="9.28515625" style="1320" customWidth="1"/>
    <col min="3913" max="3913" width="3.85546875" style="1320" customWidth="1"/>
    <col min="3914" max="3917" width="9.85546875" style="1320" customWidth="1"/>
    <col min="3918" max="3919" width="5.28515625" style="1320" customWidth="1"/>
    <col min="3920" max="3922" width="9.85546875" style="1320" customWidth="1"/>
    <col min="3923" max="3923" width="9.140625" style="1320" customWidth="1"/>
    <col min="3924" max="3924" width="8.140625" style="1320" customWidth="1"/>
    <col min="3925" max="3925" width="9.5703125" style="1320" customWidth="1"/>
    <col min="3926" max="3926" width="13.140625" style="1320" customWidth="1"/>
    <col min="3927" max="3927" width="11.7109375" style="1320" customWidth="1"/>
    <col min="3928" max="3929" width="2.42578125" style="1320" customWidth="1"/>
    <col min="3930" max="3930" width="11.5703125" style="1320" customWidth="1"/>
    <col min="3931" max="3931" width="12.7109375" style="1320" customWidth="1"/>
    <col min="3932" max="3932" width="8.28515625" style="1320" customWidth="1"/>
    <col min="3933" max="3933" width="10.5703125" style="1320" customWidth="1"/>
    <col min="3934" max="3934" width="3.85546875" style="1320" customWidth="1"/>
    <col min="3935" max="3935" width="8.140625" style="1320" customWidth="1"/>
    <col min="3936" max="3936" width="9.5703125" style="1320" customWidth="1"/>
    <col min="3937" max="3937" width="13.140625" style="1320" customWidth="1"/>
    <col min="3938" max="4122" width="11.42578125" style="1320"/>
    <col min="4123" max="4123" width="2.85546875" style="1320" customWidth="1"/>
    <col min="4124" max="4124" width="10.85546875" style="1320" customWidth="1"/>
    <col min="4125" max="4125" width="10.28515625" style="1320" customWidth="1"/>
    <col min="4126" max="4126" width="10.5703125" style="1320" customWidth="1"/>
    <col min="4127" max="4127" width="11.85546875" style="1320" customWidth="1"/>
    <col min="4128" max="4128" width="7.5703125" style="1320" customWidth="1"/>
    <col min="4129" max="4131" width="10.28515625" style="1320" customWidth="1"/>
    <col min="4132" max="4132" width="9.85546875" style="1320" customWidth="1"/>
    <col min="4133" max="4133" width="0.28515625" style="1320" customWidth="1"/>
    <col min="4134" max="4134" width="3.85546875" style="1320" customWidth="1"/>
    <col min="4135" max="4138" width="9.85546875" style="1320" customWidth="1"/>
    <col min="4139" max="4140" width="5.28515625" style="1320" customWidth="1"/>
    <col min="4141" max="4144" width="9.85546875" style="1320" customWidth="1"/>
    <col min="4145" max="4145" width="3.85546875" style="1320" customWidth="1"/>
    <col min="4146" max="4146" width="9.85546875" style="1320" customWidth="1"/>
    <col min="4147" max="4147" width="5.28515625" style="1320" customWidth="1"/>
    <col min="4148" max="4148" width="6" style="1320" customWidth="1"/>
    <col min="4149" max="4150" width="9.85546875" style="1320" customWidth="1"/>
    <col min="4151" max="4152" width="5.28515625" style="1320" customWidth="1"/>
    <col min="4153" max="4156" width="9.85546875" style="1320" customWidth="1"/>
    <col min="4157" max="4157" width="3.85546875" style="1320" customWidth="1"/>
    <col min="4158" max="4158" width="8.140625" style="1320" customWidth="1"/>
    <col min="4159" max="4159" width="8.7109375" style="1320" customWidth="1"/>
    <col min="4160" max="4160" width="12.85546875" style="1320" customWidth="1"/>
    <col min="4161" max="4161" width="12.42578125" style="1320" customWidth="1"/>
    <col min="4162" max="4163" width="5.28515625" style="1320" customWidth="1"/>
    <col min="4164" max="4165" width="9.85546875" style="1320" customWidth="1"/>
    <col min="4166" max="4167" width="4.7109375" style="1320" customWidth="1"/>
    <col min="4168" max="4168" width="9.28515625" style="1320" customWidth="1"/>
    <col min="4169" max="4169" width="3.85546875" style="1320" customWidth="1"/>
    <col min="4170" max="4173" width="9.85546875" style="1320" customWidth="1"/>
    <col min="4174" max="4175" width="5.28515625" style="1320" customWidth="1"/>
    <col min="4176" max="4178" width="9.85546875" style="1320" customWidth="1"/>
    <col min="4179" max="4179" width="9.140625" style="1320" customWidth="1"/>
    <col min="4180" max="4180" width="8.140625" style="1320" customWidth="1"/>
    <col min="4181" max="4181" width="9.5703125" style="1320" customWidth="1"/>
    <col min="4182" max="4182" width="13.140625" style="1320" customWidth="1"/>
    <col min="4183" max="4183" width="11.7109375" style="1320" customWidth="1"/>
    <col min="4184" max="4185" width="2.42578125" style="1320" customWidth="1"/>
    <col min="4186" max="4186" width="11.5703125" style="1320" customWidth="1"/>
    <col min="4187" max="4187" width="12.7109375" style="1320" customWidth="1"/>
    <col min="4188" max="4188" width="8.28515625" style="1320" customWidth="1"/>
    <col min="4189" max="4189" width="10.5703125" style="1320" customWidth="1"/>
    <col min="4190" max="4190" width="3.85546875" style="1320" customWidth="1"/>
    <col min="4191" max="4191" width="8.140625" style="1320" customWidth="1"/>
    <col min="4192" max="4192" width="9.5703125" style="1320" customWidth="1"/>
    <col min="4193" max="4193" width="13.140625" style="1320" customWidth="1"/>
    <col min="4194" max="4378" width="11.42578125" style="1320"/>
    <col min="4379" max="4379" width="2.85546875" style="1320" customWidth="1"/>
    <col min="4380" max="4380" width="10.85546875" style="1320" customWidth="1"/>
    <col min="4381" max="4381" width="10.28515625" style="1320" customWidth="1"/>
    <col min="4382" max="4382" width="10.5703125" style="1320" customWidth="1"/>
    <col min="4383" max="4383" width="11.85546875" style="1320" customWidth="1"/>
    <col min="4384" max="4384" width="7.5703125" style="1320" customWidth="1"/>
    <col min="4385" max="4387" width="10.28515625" style="1320" customWidth="1"/>
    <col min="4388" max="4388" width="9.85546875" style="1320" customWidth="1"/>
    <col min="4389" max="4389" width="0.28515625" style="1320" customWidth="1"/>
    <col min="4390" max="4390" width="3.85546875" style="1320" customWidth="1"/>
    <col min="4391" max="4394" width="9.85546875" style="1320" customWidth="1"/>
    <col min="4395" max="4396" width="5.28515625" style="1320" customWidth="1"/>
    <col min="4397" max="4400" width="9.85546875" style="1320" customWidth="1"/>
    <col min="4401" max="4401" width="3.85546875" style="1320" customWidth="1"/>
    <col min="4402" max="4402" width="9.85546875" style="1320" customWidth="1"/>
    <col min="4403" max="4403" width="5.28515625" style="1320" customWidth="1"/>
    <col min="4404" max="4404" width="6" style="1320" customWidth="1"/>
    <col min="4405" max="4406" width="9.85546875" style="1320" customWidth="1"/>
    <col min="4407" max="4408" width="5.28515625" style="1320" customWidth="1"/>
    <col min="4409" max="4412" width="9.85546875" style="1320" customWidth="1"/>
    <col min="4413" max="4413" width="3.85546875" style="1320" customWidth="1"/>
    <col min="4414" max="4414" width="8.140625" style="1320" customWidth="1"/>
    <col min="4415" max="4415" width="8.7109375" style="1320" customWidth="1"/>
    <col min="4416" max="4416" width="12.85546875" style="1320" customWidth="1"/>
    <col min="4417" max="4417" width="12.42578125" style="1320" customWidth="1"/>
    <col min="4418" max="4419" width="5.28515625" style="1320" customWidth="1"/>
    <col min="4420" max="4421" width="9.85546875" style="1320" customWidth="1"/>
    <col min="4422" max="4423" width="4.7109375" style="1320" customWidth="1"/>
    <col min="4424" max="4424" width="9.28515625" style="1320" customWidth="1"/>
    <col min="4425" max="4425" width="3.85546875" style="1320" customWidth="1"/>
    <col min="4426" max="4429" width="9.85546875" style="1320" customWidth="1"/>
    <col min="4430" max="4431" width="5.28515625" style="1320" customWidth="1"/>
    <col min="4432" max="4434" width="9.85546875" style="1320" customWidth="1"/>
    <col min="4435" max="4435" width="9.140625" style="1320" customWidth="1"/>
    <col min="4436" max="4436" width="8.140625" style="1320" customWidth="1"/>
    <col min="4437" max="4437" width="9.5703125" style="1320" customWidth="1"/>
    <col min="4438" max="4438" width="13.140625" style="1320" customWidth="1"/>
    <col min="4439" max="4439" width="11.7109375" style="1320" customWidth="1"/>
    <col min="4440" max="4441" width="2.42578125" style="1320" customWidth="1"/>
    <col min="4442" max="4442" width="11.5703125" style="1320" customWidth="1"/>
    <col min="4443" max="4443" width="12.7109375" style="1320" customWidth="1"/>
    <col min="4444" max="4444" width="8.28515625" style="1320" customWidth="1"/>
    <col min="4445" max="4445" width="10.5703125" style="1320" customWidth="1"/>
    <col min="4446" max="4446" width="3.85546875" style="1320" customWidth="1"/>
    <col min="4447" max="4447" width="8.140625" style="1320" customWidth="1"/>
    <col min="4448" max="4448" width="9.5703125" style="1320" customWidth="1"/>
    <col min="4449" max="4449" width="13.140625" style="1320" customWidth="1"/>
    <col min="4450" max="4634" width="11.42578125" style="1320"/>
    <col min="4635" max="4635" width="2.85546875" style="1320" customWidth="1"/>
    <col min="4636" max="4636" width="10.85546875" style="1320" customWidth="1"/>
    <col min="4637" max="4637" width="10.28515625" style="1320" customWidth="1"/>
    <col min="4638" max="4638" width="10.5703125" style="1320" customWidth="1"/>
    <col min="4639" max="4639" width="11.85546875" style="1320" customWidth="1"/>
    <col min="4640" max="4640" width="7.5703125" style="1320" customWidth="1"/>
    <col min="4641" max="4643" width="10.28515625" style="1320" customWidth="1"/>
    <col min="4644" max="4644" width="9.85546875" style="1320" customWidth="1"/>
    <col min="4645" max="4645" width="0.28515625" style="1320" customWidth="1"/>
    <col min="4646" max="4646" width="3.85546875" style="1320" customWidth="1"/>
    <col min="4647" max="4650" width="9.85546875" style="1320" customWidth="1"/>
    <col min="4651" max="4652" width="5.28515625" style="1320" customWidth="1"/>
    <col min="4653" max="4656" width="9.85546875" style="1320" customWidth="1"/>
    <col min="4657" max="4657" width="3.85546875" style="1320" customWidth="1"/>
    <col min="4658" max="4658" width="9.85546875" style="1320" customWidth="1"/>
    <col min="4659" max="4659" width="5.28515625" style="1320" customWidth="1"/>
    <col min="4660" max="4660" width="6" style="1320" customWidth="1"/>
    <col min="4661" max="4662" width="9.85546875" style="1320" customWidth="1"/>
    <col min="4663" max="4664" width="5.28515625" style="1320" customWidth="1"/>
    <col min="4665" max="4668" width="9.85546875" style="1320" customWidth="1"/>
    <col min="4669" max="4669" width="3.85546875" style="1320" customWidth="1"/>
    <col min="4670" max="4670" width="8.140625" style="1320" customWidth="1"/>
    <col min="4671" max="4671" width="8.7109375" style="1320" customWidth="1"/>
    <col min="4672" max="4672" width="12.85546875" style="1320" customWidth="1"/>
    <col min="4673" max="4673" width="12.42578125" style="1320" customWidth="1"/>
    <col min="4674" max="4675" width="5.28515625" style="1320" customWidth="1"/>
    <col min="4676" max="4677" width="9.85546875" style="1320" customWidth="1"/>
    <col min="4678" max="4679" width="4.7109375" style="1320" customWidth="1"/>
    <col min="4680" max="4680" width="9.28515625" style="1320" customWidth="1"/>
    <col min="4681" max="4681" width="3.85546875" style="1320" customWidth="1"/>
    <col min="4682" max="4685" width="9.85546875" style="1320" customWidth="1"/>
    <col min="4686" max="4687" width="5.28515625" style="1320" customWidth="1"/>
    <col min="4688" max="4690" width="9.85546875" style="1320" customWidth="1"/>
    <col min="4691" max="4691" width="9.140625" style="1320" customWidth="1"/>
    <col min="4692" max="4692" width="8.140625" style="1320" customWidth="1"/>
    <col min="4693" max="4693" width="9.5703125" style="1320" customWidth="1"/>
    <col min="4694" max="4694" width="13.140625" style="1320" customWidth="1"/>
    <col min="4695" max="4695" width="11.7109375" style="1320" customWidth="1"/>
    <col min="4696" max="4697" width="2.42578125" style="1320" customWidth="1"/>
    <col min="4698" max="4698" width="11.5703125" style="1320" customWidth="1"/>
    <col min="4699" max="4699" width="12.7109375" style="1320" customWidth="1"/>
    <col min="4700" max="4700" width="8.28515625" style="1320" customWidth="1"/>
    <col min="4701" max="4701" width="10.5703125" style="1320" customWidth="1"/>
    <col min="4702" max="4702" width="3.85546875" style="1320" customWidth="1"/>
    <col min="4703" max="4703" width="8.140625" style="1320" customWidth="1"/>
    <col min="4704" max="4704" width="9.5703125" style="1320" customWidth="1"/>
    <col min="4705" max="4705" width="13.140625" style="1320" customWidth="1"/>
    <col min="4706" max="4890" width="11.42578125" style="1320"/>
    <col min="4891" max="4891" width="2.85546875" style="1320" customWidth="1"/>
    <col min="4892" max="4892" width="10.85546875" style="1320" customWidth="1"/>
    <col min="4893" max="4893" width="10.28515625" style="1320" customWidth="1"/>
    <col min="4894" max="4894" width="10.5703125" style="1320" customWidth="1"/>
    <col min="4895" max="4895" width="11.85546875" style="1320" customWidth="1"/>
    <col min="4896" max="4896" width="7.5703125" style="1320" customWidth="1"/>
    <col min="4897" max="4899" width="10.28515625" style="1320" customWidth="1"/>
    <col min="4900" max="4900" width="9.85546875" style="1320" customWidth="1"/>
    <col min="4901" max="4901" width="0.28515625" style="1320" customWidth="1"/>
    <col min="4902" max="4902" width="3.85546875" style="1320" customWidth="1"/>
    <col min="4903" max="4906" width="9.85546875" style="1320" customWidth="1"/>
    <col min="4907" max="4908" width="5.28515625" style="1320" customWidth="1"/>
    <col min="4909" max="4912" width="9.85546875" style="1320" customWidth="1"/>
    <col min="4913" max="4913" width="3.85546875" style="1320" customWidth="1"/>
    <col min="4914" max="4914" width="9.85546875" style="1320" customWidth="1"/>
    <col min="4915" max="4915" width="5.28515625" style="1320" customWidth="1"/>
    <col min="4916" max="4916" width="6" style="1320" customWidth="1"/>
    <col min="4917" max="4918" width="9.85546875" style="1320" customWidth="1"/>
    <col min="4919" max="4920" width="5.28515625" style="1320" customWidth="1"/>
    <col min="4921" max="4924" width="9.85546875" style="1320" customWidth="1"/>
    <col min="4925" max="4925" width="3.85546875" style="1320" customWidth="1"/>
    <col min="4926" max="4926" width="8.140625" style="1320" customWidth="1"/>
    <col min="4927" max="4927" width="8.7109375" style="1320" customWidth="1"/>
    <col min="4928" max="4928" width="12.85546875" style="1320" customWidth="1"/>
    <col min="4929" max="4929" width="12.42578125" style="1320" customWidth="1"/>
    <col min="4930" max="4931" width="5.28515625" style="1320" customWidth="1"/>
    <col min="4932" max="4933" width="9.85546875" style="1320" customWidth="1"/>
    <col min="4934" max="4935" width="4.7109375" style="1320" customWidth="1"/>
    <col min="4936" max="4936" width="9.28515625" style="1320" customWidth="1"/>
    <col min="4937" max="4937" width="3.85546875" style="1320" customWidth="1"/>
    <col min="4938" max="4941" width="9.85546875" style="1320" customWidth="1"/>
    <col min="4942" max="4943" width="5.28515625" style="1320" customWidth="1"/>
    <col min="4944" max="4946" width="9.85546875" style="1320" customWidth="1"/>
    <col min="4947" max="4947" width="9.140625" style="1320" customWidth="1"/>
    <col min="4948" max="4948" width="8.140625" style="1320" customWidth="1"/>
    <col min="4949" max="4949" width="9.5703125" style="1320" customWidth="1"/>
    <col min="4950" max="4950" width="13.140625" style="1320" customWidth="1"/>
    <col min="4951" max="4951" width="11.7109375" style="1320" customWidth="1"/>
    <col min="4952" max="4953" width="2.42578125" style="1320" customWidth="1"/>
    <col min="4954" max="4954" width="11.5703125" style="1320" customWidth="1"/>
    <col min="4955" max="4955" width="12.7109375" style="1320" customWidth="1"/>
    <col min="4956" max="4956" width="8.28515625" style="1320" customWidth="1"/>
    <col min="4957" max="4957" width="10.5703125" style="1320" customWidth="1"/>
    <col min="4958" max="4958" width="3.85546875" style="1320" customWidth="1"/>
    <col min="4959" max="4959" width="8.140625" style="1320" customWidth="1"/>
    <col min="4960" max="4960" width="9.5703125" style="1320" customWidth="1"/>
    <col min="4961" max="4961" width="13.140625" style="1320" customWidth="1"/>
    <col min="4962" max="5146" width="11.42578125" style="1320"/>
    <col min="5147" max="5147" width="2.85546875" style="1320" customWidth="1"/>
    <col min="5148" max="5148" width="10.85546875" style="1320" customWidth="1"/>
    <col min="5149" max="5149" width="10.28515625" style="1320" customWidth="1"/>
    <col min="5150" max="5150" width="10.5703125" style="1320" customWidth="1"/>
    <col min="5151" max="5151" width="11.85546875" style="1320" customWidth="1"/>
    <col min="5152" max="5152" width="7.5703125" style="1320" customWidth="1"/>
    <col min="5153" max="5155" width="10.28515625" style="1320" customWidth="1"/>
    <col min="5156" max="5156" width="9.85546875" style="1320" customWidth="1"/>
    <col min="5157" max="5157" width="0.28515625" style="1320" customWidth="1"/>
    <col min="5158" max="5158" width="3.85546875" style="1320" customWidth="1"/>
    <col min="5159" max="5162" width="9.85546875" style="1320" customWidth="1"/>
    <col min="5163" max="5164" width="5.28515625" style="1320" customWidth="1"/>
    <col min="5165" max="5168" width="9.85546875" style="1320" customWidth="1"/>
    <col min="5169" max="5169" width="3.85546875" style="1320" customWidth="1"/>
    <col min="5170" max="5170" width="9.85546875" style="1320" customWidth="1"/>
    <col min="5171" max="5171" width="5.28515625" style="1320" customWidth="1"/>
    <col min="5172" max="5172" width="6" style="1320" customWidth="1"/>
    <col min="5173" max="5174" width="9.85546875" style="1320" customWidth="1"/>
    <col min="5175" max="5176" width="5.28515625" style="1320" customWidth="1"/>
    <col min="5177" max="5180" width="9.85546875" style="1320" customWidth="1"/>
    <col min="5181" max="5181" width="3.85546875" style="1320" customWidth="1"/>
    <col min="5182" max="5182" width="8.140625" style="1320" customWidth="1"/>
    <col min="5183" max="5183" width="8.7109375" style="1320" customWidth="1"/>
    <col min="5184" max="5184" width="12.85546875" style="1320" customWidth="1"/>
    <col min="5185" max="5185" width="12.42578125" style="1320" customWidth="1"/>
    <col min="5186" max="5187" width="5.28515625" style="1320" customWidth="1"/>
    <col min="5188" max="5189" width="9.85546875" style="1320" customWidth="1"/>
    <col min="5190" max="5191" width="4.7109375" style="1320" customWidth="1"/>
    <col min="5192" max="5192" width="9.28515625" style="1320" customWidth="1"/>
    <col min="5193" max="5193" width="3.85546875" style="1320" customWidth="1"/>
    <col min="5194" max="5197" width="9.85546875" style="1320" customWidth="1"/>
    <col min="5198" max="5199" width="5.28515625" style="1320" customWidth="1"/>
    <col min="5200" max="5202" width="9.85546875" style="1320" customWidth="1"/>
    <col min="5203" max="5203" width="9.140625" style="1320" customWidth="1"/>
    <col min="5204" max="5204" width="8.140625" style="1320" customWidth="1"/>
    <col min="5205" max="5205" width="9.5703125" style="1320" customWidth="1"/>
    <col min="5206" max="5206" width="13.140625" style="1320" customWidth="1"/>
    <col min="5207" max="5207" width="11.7109375" style="1320" customWidth="1"/>
    <col min="5208" max="5209" width="2.42578125" style="1320" customWidth="1"/>
    <col min="5210" max="5210" width="11.5703125" style="1320" customWidth="1"/>
    <col min="5211" max="5211" width="12.7109375" style="1320" customWidth="1"/>
    <col min="5212" max="5212" width="8.28515625" style="1320" customWidth="1"/>
    <col min="5213" max="5213" width="10.5703125" style="1320" customWidth="1"/>
    <col min="5214" max="5214" width="3.85546875" style="1320" customWidth="1"/>
    <col min="5215" max="5215" width="8.140625" style="1320" customWidth="1"/>
    <col min="5216" max="5216" width="9.5703125" style="1320" customWidth="1"/>
    <col min="5217" max="5217" width="13.140625" style="1320" customWidth="1"/>
    <col min="5218" max="5402" width="11.42578125" style="1320"/>
    <col min="5403" max="5403" width="2.85546875" style="1320" customWidth="1"/>
    <col min="5404" max="5404" width="10.85546875" style="1320" customWidth="1"/>
    <col min="5405" max="5405" width="10.28515625" style="1320" customWidth="1"/>
    <col min="5406" max="5406" width="10.5703125" style="1320" customWidth="1"/>
    <col min="5407" max="5407" width="11.85546875" style="1320" customWidth="1"/>
    <col min="5408" max="5408" width="7.5703125" style="1320" customWidth="1"/>
    <col min="5409" max="5411" width="10.28515625" style="1320" customWidth="1"/>
    <col min="5412" max="5412" width="9.85546875" style="1320" customWidth="1"/>
    <col min="5413" max="5413" width="0.28515625" style="1320" customWidth="1"/>
    <col min="5414" max="5414" width="3.85546875" style="1320" customWidth="1"/>
    <col min="5415" max="5418" width="9.85546875" style="1320" customWidth="1"/>
    <col min="5419" max="5420" width="5.28515625" style="1320" customWidth="1"/>
    <col min="5421" max="5424" width="9.85546875" style="1320" customWidth="1"/>
    <col min="5425" max="5425" width="3.85546875" style="1320" customWidth="1"/>
    <col min="5426" max="5426" width="9.85546875" style="1320" customWidth="1"/>
    <col min="5427" max="5427" width="5.28515625" style="1320" customWidth="1"/>
    <col min="5428" max="5428" width="6" style="1320" customWidth="1"/>
    <col min="5429" max="5430" width="9.85546875" style="1320" customWidth="1"/>
    <col min="5431" max="5432" width="5.28515625" style="1320" customWidth="1"/>
    <col min="5433" max="5436" width="9.85546875" style="1320" customWidth="1"/>
    <col min="5437" max="5437" width="3.85546875" style="1320" customWidth="1"/>
    <col min="5438" max="5438" width="8.140625" style="1320" customWidth="1"/>
    <col min="5439" max="5439" width="8.7109375" style="1320" customWidth="1"/>
    <col min="5440" max="5440" width="12.85546875" style="1320" customWidth="1"/>
    <col min="5441" max="5441" width="12.42578125" style="1320" customWidth="1"/>
    <col min="5442" max="5443" width="5.28515625" style="1320" customWidth="1"/>
    <col min="5444" max="5445" width="9.85546875" style="1320" customWidth="1"/>
    <col min="5446" max="5447" width="4.7109375" style="1320" customWidth="1"/>
    <col min="5448" max="5448" width="9.28515625" style="1320" customWidth="1"/>
    <col min="5449" max="5449" width="3.85546875" style="1320" customWidth="1"/>
    <col min="5450" max="5453" width="9.85546875" style="1320" customWidth="1"/>
    <col min="5454" max="5455" width="5.28515625" style="1320" customWidth="1"/>
    <col min="5456" max="5458" width="9.85546875" style="1320" customWidth="1"/>
    <col min="5459" max="5459" width="9.140625" style="1320" customWidth="1"/>
    <col min="5460" max="5460" width="8.140625" style="1320" customWidth="1"/>
    <col min="5461" max="5461" width="9.5703125" style="1320" customWidth="1"/>
    <col min="5462" max="5462" width="13.140625" style="1320" customWidth="1"/>
    <col min="5463" max="5463" width="11.7109375" style="1320" customWidth="1"/>
    <col min="5464" max="5465" width="2.42578125" style="1320" customWidth="1"/>
    <col min="5466" max="5466" width="11.5703125" style="1320" customWidth="1"/>
    <col min="5467" max="5467" width="12.7109375" style="1320" customWidth="1"/>
    <col min="5468" max="5468" width="8.28515625" style="1320" customWidth="1"/>
    <col min="5469" max="5469" width="10.5703125" style="1320" customWidth="1"/>
    <col min="5470" max="5470" width="3.85546875" style="1320" customWidth="1"/>
    <col min="5471" max="5471" width="8.140625" style="1320" customWidth="1"/>
    <col min="5472" max="5472" width="9.5703125" style="1320" customWidth="1"/>
    <col min="5473" max="5473" width="13.140625" style="1320" customWidth="1"/>
    <col min="5474" max="5658" width="11.42578125" style="1320"/>
    <col min="5659" max="5659" width="2.85546875" style="1320" customWidth="1"/>
    <col min="5660" max="5660" width="10.85546875" style="1320" customWidth="1"/>
    <col min="5661" max="5661" width="10.28515625" style="1320" customWidth="1"/>
    <col min="5662" max="5662" width="10.5703125" style="1320" customWidth="1"/>
    <col min="5663" max="5663" width="11.85546875" style="1320" customWidth="1"/>
    <col min="5664" max="5664" width="7.5703125" style="1320" customWidth="1"/>
    <col min="5665" max="5667" width="10.28515625" style="1320" customWidth="1"/>
    <col min="5668" max="5668" width="9.85546875" style="1320" customWidth="1"/>
    <col min="5669" max="5669" width="0.28515625" style="1320" customWidth="1"/>
    <col min="5670" max="5670" width="3.85546875" style="1320" customWidth="1"/>
    <col min="5671" max="5674" width="9.85546875" style="1320" customWidth="1"/>
    <col min="5675" max="5676" width="5.28515625" style="1320" customWidth="1"/>
    <col min="5677" max="5680" width="9.85546875" style="1320" customWidth="1"/>
    <col min="5681" max="5681" width="3.85546875" style="1320" customWidth="1"/>
    <col min="5682" max="5682" width="9.85546875" style="1320" customWidth="1"/>
    <col min="5683" max="5683" width="5.28515625" style="1320" customWidth="1"/>
    <col min="5684" max="5684" width="6" style="1320" customWidth="1"/>
    <col min="5685" max="5686" width="9.85546875" style="1320" customWidth="1"/>
    <col min="5687" max="5688" width="5.28515625" style="1320" customWidth="1"/>
    <col min="5689" max="5692" width="9.85546875" style="1320" customWidth="1"/>
    <col min="5693" max="5693" width="3.85546875" style="1320" customWidth="1"/>
    <col min="5694" max="5694" width="8.140625" style="1320" customWidth="1"/>
    <col min="5695" max="5695" width="8.7109375" style="1320" customWidth="1"/>
    <col min="5696" max="5696" width="12.85546875" style="1320" customWidth="1"/>
    <col min="5697" max="5697" width="12.42578125" style="1320" customWidth="1"/>
    <col min="5698" max="5699" width="5.28515625" style="1320" customWidth="1"/>
    <col min="5700" max="5701" width="9.85546875" style="1320" customWidth="1"/>
    <col min="5702" max="5703" width="4.7109375" style="1320" customWidth="1"/>
    <col min="5704" max="5704" width="9.28515625" style="1320" customWidth="1"/>
    <col min="5705" max="5705" width="3.85546875" style="1320" customWidth="1"/>
    <col min="5706" max="5709" width="9.85546875" style="1320" customWidth="1"/>
    <col min="5710" max="5711" width="5.28515625" style="1320" customWidth="1"/>
    <col min="5712" max="5714" width="9.85546875" style="1320" customWidth="1"/>
    <col min="5715" max="5715" width="9.140625" style="1320" customWidth="1"/>
    <col min="5716" max="5716" width="8.140625" style="1320" customWidth="1"/>
    <col min="5717" max="5717" width="9.5703125" style="1320" customWidth="1"/>
    <col min="5718" max="5718" width="13.140625" style="1320" customWidth="1"/>
    <col min="5719" max="5719" width="11.7109375" style="1320" customWidth="1"/>
    <col min="5720" max="5721" width="2.42578125" style="1320" customWidth="1"/>
    <col min="5722" max="5722" width="11.5703125" style="1320" customWidth="1"/>
    <col min="5723" max="5723" width="12.7109375" style="1320" customWidth="1"/>
    <col min="5724" max="5724" width="8.28515625" style="1320" customWidth="1"/>
    <col min="5725" max="5725" width="10.5703125" style="1320" customWidth="1"/>
    <col min="5726" max="5726" width="3.85546875" style="1320" customWidth="1"/>
    <col min="5727" max="5727" width="8.140625" style="1320" customWidth="1"/>
    <col min="5728" max="5728" width="9.5703125" style="1320" customWidth="1"/>
    <col min="5729" max="5729" width="13.140625" style="1320" customWidth="1"/>
    <col min="5730" max="5914" width="11.42578125" style="1320"/>
    <col min="5915" max="5915" width="2.85546875" style="1320" customWidth="1"/>
    <col min="5916" max="5916" width="10.85546875" style="1320" customWidth="1"/>
    <col min="5917" max="5917" width="10.28515625" style="1320" customWidth="1"/>
    <col min="5918" max="5918" width="10.5703125" style="1320" customWidth="1"/>
    <col min="5919" max="5919" width="11.85546875" style="1320" customWidth="1"/>
    <col min="5920" max="5920" width="7.5703125" style="1320" customWidth="1"/>
    <col min="5921" max="5923" width="10.28515625" style="1320" customWidth="1"/>
    <col min="5924" max="5924" width="9.85546875" style="1320" customWidth="1"/>
    <col min="5925" max="5925" width="0.28515625" style="1320" customWidth="1"/>
    <col min="5926" max="5926" width="3.85546875" style="1320" customWidth="1"/>
    <col min="5927" max="5930" width="9.85546875" style="1320" customWidth="1"/>
    <col min="5931" max="5932" width="5.28515625" style="1320" customWidth="1"/>
    <col min="5933" max="5936" width="9.85546875" style="1320" customWidth="1"/>
    <col min="5937" max="5937" width="3.85546875" style="1320" customWidth="1"/>
    <col min="5938" max="5938" width="9.85546875" style="1320" customWidth="1"/>
    <col min="5939" max="5939" width="5.28515625" style="1320" customWidth="1"/>
    <col min="5940" max="5940" width="6" style="1320" customWidth="1"/>
    <col min="5941" max="5942" width="9.85546875" style="1320" customWidth="1"/>
    <col min="5943" max="5944" width="5.28515625" style="1320" customWidth="1"/>
    <col min="5945" max="5948" width="9.85546875" style="1320" customWidth="1"/>
    <col min="5949" max="5949" width="3.85546875" style="1320" customWidth="1"/>
    <col min="5950" max="5950" width="8.140625" style="1320" customWidth="1"/>
    <col min="5951" max="5951" width="8.7109375" style="1320" customWidth="1"/>
    <col min="5952" max="5952" width="12.85546875" style="1320" customWidth="1"/>
    <col min="5953" max="5953" width="12.42578125" style="1320" customWidth="1"/>
    <col min="5954" max="5955" width="5.28515625" style="1320" customWidth="1"/>
    <col min="5956" max="5957" width="9.85546875" style="1320" customWidth="1"/>
    <col min="5958" max="5959" width="4.7109375" style="1320" customWidth="1"/>
    <col min="5960" max="5960" width="9.28515625" style="1320" customWidth="1"/>
    <col min="5961" max="5961" width="3.85546875" style="1320" customWidth="1"/>
    <col min="5962" max="5965" width="9.85546875" style="1320" customWidth="1"/>
    <col min="5966" max="5967" width="5.28515625" style="1320" customWidth="1"/>
    <col min="5968" max="5970" width="9.85546875" style="1320" customWidth="1"/>
    <col min="5971" max="5971" width="9.140625" style="1320" customWidth="1"/>
    <col min="5972" max="5972" width="8.140625" style="1320" customWidth="1"/>
    <col min="5973" max="5973" width="9.5703125" style="1320" customWidth="1"/>
    <col min="5974" max="5974" width="13.140625" style="1320" customWidth="1"/>
    <col min="5975" max="5975" width="11.7109375" style="1320" customWidth="1"/>
    <col min="5976" max="5977" width="2.42578125" style="1320" customWidth="1"/>
    <col min="5978" max="5978" width="11.5703125" style="1320" customWidth="1"/>
    <col min="5979" max="5979" width="12.7109375" style="1320" customWidth="1"/>
    <col min="5980" max="5980" width="8.28515625" style="1320" customWidth="1"/>
    <col min="5981" max="5981" width="10.5703125" style="1320" customWidth="1"/>
    <col min="5982" max="5982" width="3.85546875" style="1320" customWidth="1"/>
    <col min="5983" max="5983" width="8.140625" style="1320" customWidth="1"/>
    <col min="5984" max="5984" width="9.5703125" style="1320" customWidth="1"/>
    <col min="5985" max="5985" width="13.140625" style="1320" customWidth="1"/>
    <col min="5986" max="6170" width="11.42578125" style="1320"/>
    <col min="6171" max="6171" width="2.85546875" style="1320" customWidth="1"/>
    <col min="6172" max="6172" width="10.85546875" style="1320" customWidth="1"/>
    <col min="6173" max="6173" width="10.28515625" style="1320" customWidth="1"/>
    <col min="6174" max="6174" width="10.5703125" style="1320" customWidth="1"/>
    <col min="6175" max="6175" width="11.85546875" style="1320" customWidth="1"/>
    <col min="6176" max="6176" width="7.5703125" style="1320" customWidth="1"/>
    <col min="6177" max="6179" width="10.28515625" style="1320" customWidth="1"/>
    <col min="6180" max="6180" width="9.85546875" style="1320" customWidth="1"/>
    <col min="6181" max="6181" width="0.28515625" style="1320" customWidth="1"/>
    <col min="6182" max="6182" width="3.85546875" style="1320" customWidth="1"/>
    <col min="6183" max="6186" width="9.85546875" style="1320" customWidth="1"/>
    <col min="6187" max="6188" width="5.28515625" style="1320" customWidth="1"/>
    <col min="6189" max="6192" width="9.85546875" style="1320" customWidth="1"/>
    <col min="6193" max="6193" width="3.85546875" style="1320" customWidth="1"/>
    <col min="6194" max="6194" width="9.85546875" style="1320" customWidth="1"/>
    <col min="6195" max="6195" width="5.28515625" style="1320" customWidth="1"/>
    <col min="6196" max="6196" width="6" style="1320" customWidth="1"/>
    <col min="6197" max="6198" width="9.85546875" style="1320" customWidth="1"/>
    <col min="6199" max="6200" width="5.28515625" style="1320" customWidth="1"/>
    <col min="6201" max="6204" width="9.85546875" style="1320" customWidth="1"/>
    <col min="6205" max="6205" width="3.85546875" style="1320" customWidth="1"/>
    <col min="6206" max="6206" width="8.140625" style="1320" customWidth="1"/>
    <col min="6207" max="6207" width="8.7109375" style="1320" customWidth="1"/>
    <col min="6208" max="6208" width="12.85546875" style="1320" customWidth="1"/>
    <col min="6209" max="6209" width="12.42578125" style="1320" customWidth="1"/>
    <col min="6210" max="6211" width="5.28515625" style="1320" customWidth="1"/>
    <col min="6212" max="6213" width="9.85546875" style="1320" customWidth="1"/>
    <col min="6214" max="6215" width="4.7109375" style="1320" customWidth="1"/>
    <col min="6216" max="6216" width="9.28515625" style="1320" customWidth="1"/>
    <col min="6217" max="6217" width="3.85546875" style="1320" customWidth="1"/>
    <col min="6218" max="6221" width="9.85546875" style="1320" customWidth="1"/>
    <col min="6222" max="6223" width="5.28515625" style="1320" customWidth="1"/>
    <col min="6224" max="6226" width="9.85546875" style="1320" customWidth="1"/>
    <col min="6227" max="6227" width="9.140625" style="1320" customWidth="1"/>
    <col min="6228" max="6228" width="8.140625" style="1320" customWidth="1"/>
    <col min="6229" max="6229" width="9.5703125" style="1320" customWidth="1"/>
    <col min="6230" max="6230" width="13.140625" style="1320" customWidth="1"/>
    <col min="6231" max="6231" width="11.7109375" style="1320" customWidth="1"/>
    <col min="6232" max="6233" width="2.42578125" style="1320" customWidth="1"/>
    <col min="6234" max="6234" width="11.5703125" style="1320" customWidth="1"/>
    <col min="6235" max="6235" width="12.7109375" style="1320" customWidth="1"/>
    <col min="6236" max="6236" width="8.28515625" style="1320" customWidth="1"/>
    <col min="6237" max="6237" width="10.5703125" style="1320" customWidth="1"/>
    <col min="6238" max="6238" width="3.85546875" style="1320" customWidth="1"/>
    <col min="6239" max="6239" width="8.140625" style="1320" customWidth="1"/>
    <col min="6240" max="6240" width="9.5703125" style="1320" customWidth="1"/>
    <col min="6241" max="6241" width="13.140625" style="1320" customWidth="1"/>
    <col min="6242" max="6426" width="11.42578125" style="1320"/>
    <col min="6427" max="6427" width="2.85546875" style="1320" customWidth="1"/>
    <col min="6428" max="6428" width="10.85546875" style="1320" customWidth="1"/>
    <col min="6429" max="6429" width="10.28515625" style="1320" customWidth="1"/>
    <col min="6430" max="6430" width="10.5703125" style="1320" customWidth="1"/>
    <col min="6431" max="6431" width="11.85546875" style="1320" customWidth="1"/>
    <col min="6432" max="6432" width="7.5703125" style="1320" customWidth="1"/>
    <col min="6433" max="6435" width="10.28515625" style="1320" customWidth="1"/>
    <col min="6436" max="6436" width="9.85546875" style="1320" customWidth="1"/>
    <col min="6437" max="6437" width="0.28515625" style="1320" customWidth="1"/>
    <col min="6438" max="6438" width="3.85546875" style="1320" customWidth="1"/>
    <col min="6439" max="6442" width="9.85546875" style="1320" customWidth="1"/>
    <col min="6443" max="6444" width="5.28515625" style="1320" customWidth="1"/>
    <col min="6445" max="6448" width="9.85546875" style="1320" customWidth="1"/>
    <col min="6449" max="6449" width="3.85546875" style="1320" customWidth="1"/>
    <col min="6450" max="6450" width="9.85546875" style="1320" customWidth="1"/>
    <col min="6451" max="6451" width="5.28515625" style="1320" customWidth="1"/>
    <col min="6452" max="6452" width="6" style="1320" customWidth="1"/>
    <col min="6453" max="6454" width="9.85546875" style="1320" customWidth="1"/>
    <col min="6455" max="6456" width="5.28515625" style="1320" customWidth="1"/>
    <col min="6457" max="6460" width="9.85546875" style="1320" customWidth="1"/>
    <col min="6461" max="6461" width="3.85546875" style="1320" customWidth="1"/>
    <col min="6462" max="6462" width="8.140625" style="1320" customWidth="1"/>
    <col min="6463" max="6463" width="8.7109375" style="1320" customWidth="1"/>
    <col min="6464" max="6464" width="12.85546875" style="1320" customWidth="1"/>
    <col min="6465" max="6465" width="12.42578125" style="1320" customWidth="1"/>
    <col min="6466" max="6467" width="5.28515625" style="1320" customWidth="1"/>
    <col min="6468" max="6469" width="9.85546875" style="1320" customWidth="1"/>
    <col min="6470" max="6471" width="4.7109375" style="1320" customWidth="1"/>
    <col min="6472" max="6472" width="9.28515625" style="1320" customWidth="1"/>
    <col min="6473" max="6473" width="3.85546875" style="1320" customWidth="1"/>
    <col min="6474" max="6477" width="9.85546875" style="1320" customWidth="1"/>
    <col min="6478" max="6479" width="5.28515625" style="1320" customWidth="1"/>
    <col min="6480" max="6482" width="9.85546875" style="1320" customWidth="1"/>
    <col min="6483" max="6483" width="9.140625" style="1320" customWidth="1"/>
    <col min="6484" max="6484" width="8.140625" style="1320" customWidth="1"/>
    <col min="6485" max="6485" width="9.5703125" style="1320" customWidth="1"/>
    <col min="6486" max="6486" width="13.140625" style="1320" customWidth="1"/>
    <col min="6487" max="6487" width="11.7109375" style="1320" customWidth="1"/>
    <col min="6488" max="6489" width="2.42578125" style="1320" customWidth="1"/>
    <col min="6490" max="6490" width="11.5703125" style="1320" customWidth="1"/>
    <col min="6491" max="6491" width="12.7109375" style="1320" customWidth="1"/>
    <col min="6492" max="6492" width="8.28515625" style="1320" customWidth="1"/>
    <col min="6493" max="6493" width="10.5703125" style="1320" customWidth="1"/>
    <col min="6494" max="6494" width="3.85546875" style="1320" customWidth="1"/>
    <col min="6495" max="6495" width="8.140625" style="1320" customWidth="1"/>
    <col min="6496" max="6496" width="9.5703125" style="1320" customWidth="1"/>
    <col min="6497" max="6497" width="13.140625" style="1320" customWidth="1"/>
    <col min="6498" max="6682" width="11.42578125" style="1320"/>
    <col min="6683" max="6683" width="2.85546875" style="1320" customWidth="1"/>
    <col min="6684" max="6684" width="10.85546875" style="1320" customWidth="1"/>
    <col min="6685" max="6685" width="10.28515625" style="1320" customWidth="1"/>
    <col min="6686" max="6686" width="10.5703125" style="1320" customWidth="1"/>
    <col min="6687" max="6687" width="11.85546875" style="1320" customWidth="1"/>
    <col min="6688" max="6688" width="7.5703125" style="1320" customWidth="1"/>
    <col min="6689" max="6691" width="10.28515625" style="1320" customWidth="1"/>
    <col min="6692" max="6692" width="9.85546875" style="1320" customWidth="1"/>
    <col min="6693" max="6693" width="0.28515625" style="1320" customWidth="1"/>
    <col min="6694" max="6694" width="3.85546875" style="1320" customWidth="1"/>
    <col min="6695" max="6698" width="9.85546875" style="1320" customWidth="1"/>
    <col min="6699" max="6700" width="5.28515625" style="1320" customWidth="1"/>
    <col min="6701" max="6704" width="9.85546875" style="1320" customWidth="1"/>
    <col min="6705" max="6705" width="3.85546875" style="1320" customWidth="1"/>
    <col min="6706" max="6706" width="9.85546875" style="1320" customWidth="1"/>
    <col min="6707" max="6707" width="5.28515625" style="1320" customWidth="1"/>
    <col min="6708" max="6708" width="6" style="1320" customWidth="1"/>
    <col min="6709" max="6710" width="9.85546875" style="1320" customWidth="1"/>
    <col min="6711" max="6712" width="5.28515625" style="1320" customWidth="1"/>
    <col min="6713" max="6716" width="9.85546875" style="1320" customWidth="1"/>
    <col min="6717" max="6717" width="3.85546875" style="1320" customWidth="1"/>
    <col min="6718" max="6718" width="8.140625" style="1320" customWidth="1"/>
    <col min="6719" max="6719" width="8.7109375" style="1320" customWidth="1"/>
    <col min="6720" max="6720" width="12.85546875" style="1320" customWidth="1"/>
    <col min="6721" max="6721" width="12.42578125" style="1320" customWidth="1"/>
    <col min="6722" max="6723" width="5.28515625" style="1320" customWidth="1"/>
    <col min="6724" max="6725" width="9.85546875" style="1320" customWidth="1"/>
    <col min="6726" max="6727" width="4.7109375" style="1320" customWidth="1"/>
    <col min="6728" max="6728" width="9.28515625" style="1320" customWidth="1"/>
    <col min="6729" max="6729" width="3.85546875" style="1320" customWidth="1"/>
    <col min="6730" max="6733" width="9.85546875" style="1320" customWidth="1"/>
    <col min="6734" max="6735" width="5.28515625" style="1320" customWidth="1"/>
    <col min="6736" max="6738" width="9.85546875" style="1320" customWidth="1"/>
    <col min="6739" max="6739" width="9.140625" style="1320" customWidth="1"/>
    <col min="6740" max="6740" width="8.140625" style="1320" customWidth="1"/>
    <col min="6741" max="6741" width="9.5703125" style="1320" customWidth="1"/>
    <col min="6742" max="6742" width="13.140625" style="1320" customWidth="1"/>
    <col min="6743" max="6743" width="11.7109375" style="1320" customWidth="1"/>
    <col min="6744" max="6745" width="2.42578125" style="1320" customWidth="1"/>
    <col min="6746" max="6746" width="11.5703125" style="1320" customWidth="1"/>
    <col min="6747" max="6747" width="12.7109375" style="1320" customWidth="1"/>
    <col min="6748" max="6748" width="8.28515625" style="1320" customWidth="1"/>
    <col min="6749" max="6749" width="10.5703125" style="1320" customWidth="1"/>
    <col min="6750" max="6750" width="3.85546875" style="1320" customWidth="1"/>
    <col min="6751" max="6751" width="8.140625" style="1320" customWidth="1"/>
    <col min="6752" max="6752" width="9.5703125" style="1320" customWidth="1"/>
    <col min="6753" max="6753" width="13.140625" style="1320" customWidth="1"/>
    <col min="6754" max="6938" width="11.42578125" style="1320"/>
    <col min="6939" max="6939" width="2.85546875" style="1320" customWidth="1"/>
    <col min="6940" max="6940" width="10.85546875" style="1320" customWidth="1"/>
    <col min="6941" max="6941" width="10.28515625" style="1320" customWidth="1"/>
    <col min="6942" max="6942" width="10.5703125" style="1320" customWidth="1"/>
    <col min="6943" max="6943" width="11.85546875" style="1320" customWidth="1"/>
    <col min="6944" max="6944" width="7.5703125" style="1320" customWidth="1"/>
    <col min="6945" max="6947" width="10.28515625" style="1320" customWidth="1"/>
    <col min="6948" max="6948" width="9.85546875" style="1320" customWidth="1"/>
    <col min="6949" max="6949" width="0.28515625" style="1320" customWidth="1"/>
    <col min="6950" max="6950" width="3.85546875" style="1320" customWidth="1"/>
    <col min="6951" max="6954" width="9.85546875" style="1320" customWidth="1"/>
    <col min="6955" max="6956" width="5.28515625" style="1320" customWidth="1"/>
    <col min="6957" max="6960" width="9.85546875" style="1320" customWidth="1"/>
    <col min="6961" max="6961" width="3.85546875" style="1320" customWidth="1"/>
    <col min="6962" max="6962" width="9.85546875" style="1320" customWidth="1"/>
    <col min="6963" max="6963" width="5.28515625" style="1320" customWidth="1"/>
    <col min="6964" max="6964" width="6" style="1320" customWidth="1"/>
    <col min="6965" max="6966" width="9.85546875" style="1320" customWidth="1"/>
    <col min="6967" max="6968" width="5.28515625" style="1320" customWidth="1"/>
    <col min="6969" max="6972" width="9.85546875" style="1320" customWidth="1"/>
    <col min="6973" max="6973" width="3.85546875" style="1320" customWidth="1"/>
    <col min="6974" max="6974" width="8.140625" style="1320" customWidth="1"/>
    <col min="6975" max="6975" width="8.7109375" style="1320" customWidth="1"/>
    <col min="6976" max="6976" width="12.85546875" style="1320" customWidth="1"/>
    <col min="6977" max="6977" width="12.42578125" style="1320" customWidth="1"/>
    <col min="6978" max="6979" width="5.28515625" style="1320" customWidth="1"/>
    <col min="6980" max="6981" width="9.85546875" style="1320" customWidth="1"/>
    <col min="6982" max="6983" width="4.7109375" style="1320" customWidth="1"/>
    <col min="6984" max="6984" width="9.28515625" style="1320" customWidth="1"/>
    <col min="6985" max="6985" width="3.85546875" style="1320" customWidth="1"/>
    <col min="6986" max="6989" width="9.85546875" style="1320" customWidth="1"/>
    <col min="6990" max="6991" width="5.28515625" style="1320" customWidth="1"/>
    <col min="6992" max="6994" width="9.85546875" style="1320" customWidth="1"/>
    <col min="6995" max="6995" width="9.140625" style="1320" customWidth="1"/>
    <col min="6996" max="6996" width="8.140625" style="1320" customWidth="1"/>
    <col min="6997" max="6997" width="9.5703125" style="1320" customWidth="1"/>
    <col min="6998" max="6998" width="13.140625" style="1320" customWidth="1"/>
    <col min="6999" max="6999" width="11.7109375" style="1320" customWidth="1"/>
    <col min="7000" max="7001" width="2.42578125" style="1320" customWidth="1"/>
    <col min="7002" max="7002" width="11.5703125" style="1320" customWidth="1"/>
    <col min="7003" max="7003" width="12.7109375" style="1320" customWidth="1"/>
    <col min="7004" max="7004" width="8.28515625" style="1320" customWidth="1"/>
    <col min="7005" max="7005" width="10.5703125" style="1320" customWidth="1"/>
    <col min="7006" max="7006" width="3.85546875" style="1320" customWidth="1"/>
    <col min="7007" max="7007" width="8.140625" style="1320" customWidth="1"/>
    <col min="7008" max="7008" width="9.5703125" style="1320" customWidth="1"/>
    <col min="7009" max="7009" width="13.140625" style="1320" customWidth="1"/>
    <col min="7010" max="7194" width="11.42578125" style="1320"/>
    <col min="7195" max="7195" width="2.85546875" style="1320" customWidth="1"/>
    <col min="7196" max="7196" width="10.85546875" style="1320" customWidth="1"/>
    <col min="7197" max="7197" width="10.28515625" style="1320" customWidth="1"/>
    <col min="7198" max="7198" width="10.5703125" style="1320" customWidth="1"/>
    <col min="7199" max="7199" width="11.85546875" style="1320" customWidth="1"/>
    <col min="7200" max="7200" width="7.5703125" style="1320" customWidth="1"/>
    <col min="7201" max="7203" width="10.28515625" style="1320" customWidth="1"/>
    <col min="7204" max="7204" width="9.85546875" style="1320" customWidth="1"/>
    <col min="7205" max="7205" width="0.28515625" style="1320" customWidth="1"/>
    <col min="7206" max="7206" width="3.85546875" style="1320" customWidth="1"/>
    <col min="7207" max="7210" width="9.85546875" style="1320" customWidth="1"/>
    <col min="7211" max="7212" width="5.28515625" style="1320" customWidth="1"/>
    <col min="7213" max="7216" width="9.85546875" style="1320" customWidth="1"/>
    <col min="7217" max="7217" width="3.85546875" style="1320" customWidth="1"/>
    <col min="7218" max="7218" width="9.85546875" style="1320" customWidth="1"/>
    <col min="7219" max="7219" width="5.28515625" style="1320" customWidth="1"/>
    <col min="7220" max="7220" width="6" style="1320" customWidth="1"/>
    <col min="7221" max="7222" width="9.85546875" style="1320" customWidth="1"/>
    <col min="7223" max="7224" width="5.28515625" style="1320" customWidth="1"/>
    <col min="7225" max="7228" width="9.85546875" style="1320" customWidth="1"/>
    <col min="7229" max="7229" width="3.85546875" style="1320" customWidth="1"/>
    <col min="7230" max="7230" width="8.140625" style="1320" customWidth="1"/>
    <col min="7231" max="7231" width="8.7109375" style="1320" customWidth="1"/>
    <col min="7232" max="7232" width="12.85546875" style="1320" customWidth="1"/>
    <col min="7233" max="7233" width="12.42578125" style="1320" customWidth="1"/>
    <col min="7234" max="7235" width="5.28515625" style="1320" customWidth="1"/>
    <col min="7236" max="7237" width="9.85546875" style="1320" customWidth="1"/>
    <col min="7238" max="7239" width="4.7109375" style="1320" customWidth="1"/>
    <col min="7240" max="7240" width="9.28515625" style="1320" customWidth="1"/>
    <col min="7241" max="7241" width="3.85546875" style="1320" customWidth="1"/>
    <col min="7242" max="7245" width="9.85546875" style="1320" customWidth="1"/>
    <col min="7246" max="7247" width="5.28515625" style="1320" customWidth="1"/>
    <col min="7248" max="7250" width="9.85546875" style="1320" customWidth="1"/>
    <col min="7251" max="7251" width="9.140625" style="1320" customWidth="1"/>
    <col min="7252" max="7252" width="8.140625" style="1320" customWidth="1"/>
    <col min="7253" max="7253" width="9.5703125" style="1320" customWidth="1"/>
    <col min="7254" max="7254" width="13.140625" style="1320" customWidth="1"/>
    <col min="7255" max="7255" width="11.7109375" style="1320" customWidth="1"/>
    <col min="7256" max="7257" width="2.42578125" style="1320" customWidth="1"/>
    <col min="7258" max="7258" width="11.5703125" style="1320" customWidth="1"/>
    <col min="7259" max="7259" width="12.7109375" style="1320" customWidth="1"/>
    <col min="7260" max="7260" width="8.28515625" style="1320" customWidth="1"/>
    <col min="7261" max="7261" width="10.5703125" style="1320" customWidth="1"/>
    <col min="7262" max="7262" width="3.85546875" style="1320" customWidth="1"/>
    <col min="7263" max="7263" width="8.140625" style="1320" customWidth="1"/>
    <col min="7264" max="7264" width="9.5703125" style="1320" customWidth="1"/>
    <col min="7265" max="7265" width="13.140625" style="1320" customWidth="1"/>
    <col min="7266" max="7450" width="11.42578125" style="1320"/>
    <col min="7451" max="7451" width="2.85546875" style="1320" customWidth="1"/>
    <col min="7452" max="7452" width="10.85546875" style="1320" customWidth="1"/>
    <col min="7453" max="7453" width="10.28515625" style="1320" customWidth="1"/>
    <col min="7454" max="7454" width="10.5703125" style="1320" customWidth="1"/>
    <col min="7455" max="7455" width="11.85546875" style="1320" customWidth="1"/>
    <col min="7456" max="7456" width="7.5703125" style="1320" customWidth="1"/>
    <col min="7457" max="7459" width="10.28515625" style="1320" customWidth="1"/>
    <col min="7460" max="7460" width="9.85546875" style="1320" customWidth="1"/>
    <col min="7461" max="7461" width="0.28515625" style="1320" customWidth="1"/>
    <col min="7462" max="7462" width="3.85546875" style="1320" customWidth="1"/>
    <col min="7463" max="7466" width="9.85546875" style="1320" customWidth="1"/>
    <col min="7467" max="7468" width="5.28515625" style="1320" customWidth="1"/>
    <col min="7469" max="7472" width="9.85546875" style="1320" customWidth="1"/>
    <col min="7473" max="7473" width="3.85546875" style="1320" customWidth="1"/>
    <col min="7474" max="7474" width="9.85546875" style="1320" customWidth="1"/>
    <col min="7475" max="7475" width="5.28515625" style="1320" customWidth="1"/>
    <col min="7476" max="7476" width="6" style="1320" customWidth="1"/>
    <col min="7477" max="7478" width="9.85546875" style="1320" customWidth="1"/>
    <col min="7479" max="7480" width="5.28515625" style="1320" customWidth="1"/>
    <col min="7481" max="7484" width="9.85546875" style="1320" customWidth="1"/>
    <col min="7485" max="7485" width="3.85546875" style="1320" customWidth="1"/>
    <col min="7486" max="7486" width="8.140625" style="1320" customWidth="1"/>
    <col min="7487" max="7487" width="8.7109375" style="1320" customWidth="1"/>
    <col min="7488" max="7488" width="12.85546875" style="1320" customWidth="1"/>
    <col min="7489" max="7489" width="12.42578125" style="1320" customWidth="1"/>
    <col min="7490" max="7491" width="5.28515625" style="1320" customWidth="1"/>
    <col min="7492" max="7493" width="9.85546875" style="1320" customWidth="1"/>
    <col min="7494" max="7495" width="4.7109375" style="1320" customWidth="1"/>
    <col min="7496" max="7496" width="9.28515625" style="1320" customWidth="1"/>
    <col min="7497" max="7497" width="3.85546875" style="1320" customWidth="1"/>
    <col min="7498" max="7501" width="9.85546875" style="1320" customWidth="1"/>
    <col min="7502" max="7503" width="5.28515625" style="1320" customWidth="1"/>
    <col min="7504" max="7506" width="9.85546875" style="1320" customWidth="1"/>
    <col min="7507" max="7507" width="9.140625" style="1320" customWidth="1"/>
    <col min="7508" max="7508" width="8.140625" style="1320" customWidth="1"/>
    <col min="7509" max="7509" width="9.5703125" style="1320" customWidth="1"/>
    <col min="7510" max="7510" width="13.140625" style="1320" customWidth="1"/>
    <col min="7511" max="7511" width="11.7109375" style="1320" customWidth="1"/>
    <col min="7512" max="7513" width="2.42578125" style="1320" customWidth="1"/>
    <col min="7514" max="7514" width="11.5703125" style="1320" customWidth="1"/>
    <col min="7515" max="7515" width="12.7109375" style="1320" customWidth="1"/>
    <col min="7516" max="7516" width="8.28515625" style="1320" customWidth="1"/>
    <col min="7517" max="7517" width="10.5703125" style="1320" customWidth="1"/>
    <col min="7518" max="7518" width="3.85546875" style="1320" customWidth="1"/>
    <col min="7519" max="7519" width="8.140625" style="1320" customWidth="1"/>
    <col min="7520" max="7520" width="9.5703125" style="1320" customWidth="1"/>
    <col min="7521" max="7521" width="13.140625" style="1320" customWidth="1"/>
    <col min="7522" max="7706" width="11.42578125" style="1320"/>
    <col min="7707" max="7707" width="2.85546875" style="1320" customWidth="1"/>
    <col min="7708" max="7708" width="10.85546875" style="1320" customWidth="1"/>
    <col min="7709" max="7709" width="10.28515625" style="1320" customWidth="1"/>
    <col min="7710" max="7710" width="10.5703125" style="1320" customWidth="1"/>
    <col min="7711" max="7711" width="11.85546875" style="1320" customWidth="1"/>
    <col min="7712" max="7712" width="7.5703125" style="1320" customWidth="1"/>
    <col min="7713" max="7715" width="10.28515625" style="1320" customWidth="1"/>
    <col min="7716" max="7716" width="9.85546875" style="1320" customWidth="1"/>
    <col min="7717" max="7717" width="0.28515625" style="1320" customWidth="1"/>
    <col min="7718" max="7718" width="3.85546875" style="1320" customWidth="1"/>
    <col min="7719" max="7722" width="9.85546875" style="1320" customWidth="1"/>
    <col min="7723" max="7724" width="5.28515625" style="1320" customWidth="1"/>
    <col min="7725" max="7728" width="9.85546875" style="1320" customWidth="1"/>
    <col min="7729" max="7729" width="3.85546875" style="1320" customWidth="1"/>
    <col min="7730" max="7730" width="9.85546875" style="1320" customWidth="1"/>
    <col min="7731" max="7731" width="5.28515625" style="1320" customWidth="1"/>
    <col min="7732" max="7732" width="6" style="1320" customWidth="1"/>
    <col min="7733" max="7734" width="9.85546875" style="1320" customWidth="1"/>
    <col min="7735" max="7736" width="5.28515625" style="1320" customWidth="1"/>
    <col min="7737" max="7740" width="9.85546875" style="1320" customWidth="1"/>
    <col min="7741" max="7741" width="3.85546875" style="1320" customWidth="1"/>
    <col min="7742" max="7742" width="8.140625" style="1320" customWidth="1"/>
    <col min="7743" max="7743" width="8.7109375" style="1320" customWidth="1"/>
    <col min="7744" max="7744" width="12.85546875" style="1320" customWidth="1"/>
    <col min="7745" max="7745" width="12.42578125" style="1320" customWidth="1"/>
    <col min="7746" max="7747" width="5.28515625" style="1320" customWidth="1"/>
    <col min="7748" max="7749" width="9.85546875" style="1320" customWidth="1"/>
    <col min="7750" max="7751" width="4.7109375" style="1320" customWidth="1"/>
    <col min="7752" max="7752" width="9.28515625" style="1320" customWidth="1"/>
    <col min="7753" max="7753" width="3.85546875" style="1320" customWidth="1"/>
    <col min="7754" max="7757" width="9.85546875" style="1320" customWidth="1"/>
    <col min="7758" max="7759" width="5.28515625" style="1320" customWidth="1"/>
    <col min="7760" max="7762" width="9.85546875" style="1320" customWidth="1"/>
    <col min="7763" max="7763" width="9.140625" style="1320" customWidth="1"/>
    <col min="7764" max="7764" width="8.140625" style="1320" customWidth="1"/>
    <col min="7765" max="7765" width="9.5703125" style="1320" customWidth="1"/>
    <col min="7766" max="7766" width="13.140625" style="1320" customWidth="1"/>
    <col min="7767" max="7767" width="11.7109375" style="1320" customWidth="1"/>
    <col min="7768" max="7769" width="2.42578125" style="1320" customWidth="1"/>
    <col min="7770" max="7770" width="11.5703125" style="1320" customWidth="1"/>
    <col min="7771" max="7771" width="12.7109375" style="1320" customWidth="1"/>
    <col min="7772" max="7772" width="8.28515625" style="1320" customWidth="1"/>
    <col min="7773" max="7773" width="10.5703125" style="1320" customWidth="1"/>
    <col min="7774" max="7774" width="3.85546875" style="1320" customWidth="1"/>
    <col min="7775" max="7775" width="8.140625" style="1320" customWidth="1"/>
    <col min="7776" max="7776" width="9.5703125" style="1320" customWidth="1"/>
    <col min="7777" max="7777" width="13.140625" style="1320" customWidth="1"/>
    <col min="7778" max="7962" width="11.42578125" style="1320"/>
    <col min="7963" max="7963" width="2.85546875" style="1320" customWidth="1"/>
    <col min="7964" max="7964" width="10.85546875" style="1320" customWidth="1"/>
    <col min="7965" max="7965" width="10.28515625" style="1320" customWidth="1"/>
    <col min="7966" max="7966" width="10.5703125" style="1320" customWidth="1"/>
    <col min="7967" max="7967" width="11.85546875" style="1320" customWidth="1"/>
    <col min="7968" max="7968" width="7.5703125" style="1320" customWidth="1"/>
    <col min="7969" max="7971" width="10.28515625" style="1320" customWidth="1"/>
    <col min="7972" max="7972" width="9.85546875" style="1320" customWidth="1"/>
    <col min="7973" max="7973" width="0.28515625" style="1320" customWidth="1"/>
    <col min="7974" max="7974" width="3.85546875" style="1320" customWidth="1"/>
    <col min="7975" max="7978" width="9.85546875" style="1320" customWidth="1"/>
    <col min="7979" max="7980" width="5.28515625" style="1320" customWidth="1"/>
    <col min="7981" max="7984" width="9.85546875" style="1320" customWidth="1"/>
    <col min="7985" max="7985" width="3.85546875" style="1320" customWidth="1"/>
    <col min="7986" max="7986" width="9.85546875" style="1320" customWidth="1"/>
    <col min="7987" max="7987" width="5.28515625" style="1320" customWidth="1"/>
    <col min="7988" max="7988" width="6" style="1320" customWidth="1"/>
    <col min="7989" max="7990" width="9.85546875" style="1320" customWidth="1"/>
    <col min="7991" max="7992" width="5.28515625" style="1320" customWidth="1"/>
    <col min="7993" max="7996" width="9.85546875" style="1320" customWidth="1"/>
    <col min="7997" max="7997" width="3.85546875" style="1320" customWidth="1"/>
    <col min="7998" max="7998" width="8.140625" style="1320" customWidth="1"/>
    <col min="7999" max="7999" width="8.7109375" style="1320" customWidth="1"/>
    <col min="8000" max="8000" width="12.85546875" style="1320" customWidth="1"/>
    <col min="8001" max="8001" width="12.42578125" style="1320" customWidth="1"/>
    <col min="8002" max="8003" width="5.28515625" style="1320" customWidth="1"/>
    <col min="8004" max="8005" width="9.85546875" style="1320" customWidth="1"/>
    <col min="8006" max="8007" width="4.7109375" style="1320" customWidth="1"/>
    <col min="8008" max="8008" width="9.28515625" style="1320" customWidth="1"/>
    <col min="8009" max="8009" width="3.85546875" style="1320" customWidth="1"/>
    <col min="8010" max="8013" width="9.85546875" style="1320" customWidth="1"/>
    <col min="8014" max="8015" width="5.28515625" style="1320" customWidth="1"/>
    <col min="8016" max="8018" width="9.85546875" style="1320" customWidth="1"/>
    <col min="8019" max="8019" width="9.140625" style="1320" customWidth="1"/>
    <col min="8020" max="8020" width="8.140625" style="1320" customWidth="1"/>
    <col min="8021" max="8021" width="9.5703125" style="1320" customWidth="1"/>
    <col min="8022" max="8022" width="13.140625" style="1320" customWidth="1"/>
    <col min="8023" max="8023" width="11.7109375" style="1320" customWidth="1"/>
    <col min="8024" max="8025" width="2.42578125" style="1320" customWidth="1"/>
    <col min="8026" max="8026" width="11.5703125" style="1320" customWidth="1"/>
    <col min="8027" max="8027" width="12.7109375" style="1320" customWidth="1"/>
    <col min="8028" max="8028" width="8.28515625" style="1320" customWidth="1"/>
    <col min="8029" max="8029" width="10.5703125" style="1320" customWidth="1"/>
    <col min="8030" max="8030" width="3.85546875" style="1320" customWidth="1"/>
    <col min="8031" max="8031" width="8.140625" style="1320" customWidth="1"/>
    <col min="8032" max="8032" width="9.5703125" style="1320" customWidth="1"/>
    <col min="8033" max="8033" width="13.140625" style="1320" customWidth="1"/>
    <col min="8034" max="8218" width="11.42578125" style="1320"/>
    <col min="8219" max="8219" width="2.85546875" style="1320" customWidth="1"/>
    <col min="8220" max="8220" width="10.85546875" style="1320" customWidth="1"/>
    <col min="8221" max="8221" width="10.28515625" style="1320" customWidth="1"/>
    <col min="8222" max="8222" width="10.5703125" style="1320" customWidth="1"/>
    <col min="8223" max="8223" width="11.85546875" style="1320" customWidth="1"/>
    <col min="8224" max="8224" width="7.5703125" style="1320" customWidth="1"/>
    <col min="8225" max="8227" width="10.28515625" style="1320" customWidth="1"/>
    <col min="8228" max="8228" width="9.85546875" style="1320" customWidth="1"/>
    <col min="8229" max="8229" width="0.28515625" style="1320" customWidth="1"/>
    <col min="8230" max="8230" width="3.85546875" style="1320" customWidth="1"/>
    <col min="8231" max="8234" width="9.85546875" style="1320" customWidth="1"/>
    <col min="8235" max="8236" width="5.28515625" style="1320" customWidth="1"/>
    <col min="8237" max="8240" width="9.85546875" style="1320" customWidth="1"/>
    <col min="8241" max="8241" width="3.85546875" style="1320" customWidth="1"/>
    <col min="8242" max="8242" width="9.85546875" style="1320" customWidth="1"/>
    <col min="8243" max="8243" width="5.28515625" style="1320" customWidth="1"/>
    <col min="8244" max="8244" width="6" style="1320" customWidth="1"/>
    <col min="8245" max="8246" width="9.85546875" style="1320" customWidth="1"/>
    <col min="8247" max="8248" width="5.28515625" style="1320" customWidth="1"/>
    <col min="8249" max="8252" width="9.85546875" style="1320" customWidth="1"/>
    <col min="8253" max="8253" width="3.85546875" style="1320" customWidth="1"/>
    <col min="8254" max="8254" width="8.140625" style="1320" customWidth="1"/>
    <col min="8255" max="8255" width="8.7109375" style="1320" customWidth="1"/>
    <col min="8256" max="8256" width="12.85546875" style="1320" customWidth="1"/>
    <col min="8257" max="8257" width="12.42578125" style="1320" customWidth="1"/>
    <col min="8258" max="8259" width="5.28515625" style="1320" customWidth="1"/>
    <col min="8260" max="8261" width="9.85546875" style="1320" customWidth="1"/>
    <col min="8262" max="8263" width="4.7109375" style="1320" customWidth="1"/>
    <col min="8264" max="8264" width="9.28515625" style="1320" customWidth="1"/>
    <col min="8265" max="8265" width="3.85546875" style="1320" customWidth="1"/>
    <col min="8266" max="8269" width="9.85546875" style="1320" customWidth="1"/>
    <col min="8270" max="8271" width="5.28515625" style="1320" customWidth="1"/>
    <col min="8272" max="8274" width="9.85546875" style="1320" customWidth="1"/>
    <col min="8275" max="8275" width="9.140625" style="1320" customWidth="1"/>
    <col min="8276" max="8276" width="8.140625" style="1320" customWidth="1"/>
    <col min="8277" max="8277" width="9.5703125" style="1320" customWidth="1"/>
    <col min="8278" max="8278" width="13.140625" style="1320" customWidth="1"/>
    <col min="8279" max="8279" width="11.7109375" style="1320" customWidth="1"/>
    <col min="8280" max="8281" width="2.42578125" style="1320" customWidth="1"/>
    <col min="8282" max="8282" width="11.5703125" style="1320" customWidth="1"/>
    <col min="8283" max="8283" width="12.7109375" style="1320" customWidth="1"/>
    <col min="8284" max="8284" width="8.28515625" style="1320" customWidth="1"/>
    <col min="8285" max="8285" width="10.5703125" style="1320" customWidth="1"/>
    <col min="8286" max="8286" width="3.85546875" style="1320" customWidth="1"/>
    <col min="8287" max="8287" width="8.140625" style="1320" customWidth="1"/>
    <col min="8288" max="8288" width="9.5703125" style="1320" customWidth="1"/>
    <col min="8289" max="8289" width="13.140625" style="1320" customWidth="1"/>
    <col min="8290" max="8474" width="11.42578125" style="1320"/>
    <col min="8475" max="8475" width="2.85546875" style="1320" customWidth="1"/>
    <col min="8476" max="8476" width="10.85546875" style="1320" customWidth="1"/>
    <col min="8477" max="8477" width="10.28515625" style="1320" customWidth="1"/>
    <col min="8478" max="8478" width="10.5703125" style="1320" customWidth="1"/>
    <col min="8479" max="8479" width="11.85546875" style="1320" customWidth="1"/>
    <col min="8480" max="8480" width="7.5703125" style="1320" customWidth="1"/>
    <col min="8481" max="8483" width="10.28515625" style="1320" customWidth="1"/>
    <col min="8484" max="8484" width="9.85546875" style="1320" customWidth="1"/>
    <col min="8485" max="8485" width="0.28515625" style="1320" customWidth="1"/>
    <col min="8486" max="8486" width="3.85546875" style="1320" customWidth="1"/>
    <col min="8487" max="8490" width="9.85546875" style="1320" customWidth="1"/>
    <col min="8491" max="8492" width="5.28515625" style="1320" customWidth="1"/>
    <col min="8493" max="8496" width="9.85546875" style="1320" customWidth="1"/>
    <col min="8497" max="8497" width="3.85546875" style="1320" customWidth="1"/>
    <col min="8498" max="8498" width="9.85546875" style="1320" customWidth="1"/>
    <col min="8499" max="8499" width="5.28515625" style="1320" customWidth="1"/>
    <col min="8500" max="8500" width="6" style="1320" customWidth="1"/>
    <col min="8501" max="8502" width="9.85546875" style="1320" customWidth="1"/>
    <col min="8503" max="8504" width="5.28515625" style="1320" customWidth="1"/>
    <col min="8505" max="8508" width="9.85546875" style="1320" customWidth="1"/>
    <col min="8509" max="8509" width="3.85546875" style="1320" customWidth="1"/>
    <col min="8510" max="8510" width="8.140625" style="1320" customWidth="1"/>
    <col min="8511" max="8511" width="8.7109375" style="1320" customWidth="1"/>
    <col min="8512" max="8512" width="12.85546875" style="1320" customWidth="1"/>
    <col min="8513" max="8513" width="12.42578125" style="1320" customWidth="1"/>
    <col min="8514" max="8515" width="5.28515625" style="1320" customWidth="1"/>
    <col min="8516" max="8517" width="9.85546875" style="1320" customWidth="1"/>
    <col min="8518" max="8519" width="4.7109375" style="1320" customWidth="1"/>
    <col min="8520" max="8520" width="9.28515625" style="1320" customWidth="1"/>
    <col min="8521" max="8521" width="3.85546875" style="1320" customWidth="1"/>
    <col min="8522" max="8525" width="9.85546875" style="1320" customWidth="1"/>
    <col min="8526" max="8527" width="5.28515625" style="1320" customWidth="1"/>
    <col min="8528" max="8530" width="9.85546875" style="1320" customWidth="1"/>
    <col min="8531" max="8531" width="9.140625" style="1320" customWidth="1"/>
    <col min="8532" max="8532" width="8.140625" style="1320" customWidth="1"/>
    <col min="8533" max="8533" width="9.5703125" style="1320" customWidth="1"/>
    <col min="8534" max="8534" width="13.140625" style="1320" customWidth="1"/>
    <col min="8535" max="8535" width="11.7109375" style="1320" customWidth="1"/>
    <col min="8536" max="8537" width="2.42578125" style="1320" customWidth="1"/>
    <col min="8538" max="8538" width="11.5703125" style="1320" customWidth="1"/>
    <col min="8539" max="8539" width="12.7109375" style="1320" customWidth="1"/>
    <col min="8540" max="8540" width="8.28515625" style="1320" customWidth="1"/>
    <col min="8541" max="8541" width="10.5703125" style="1320" customWidth="1"/>
    <col min="8542" max="8542" width="3.85546875" style="1320" customWidth="1"/>
    <col min="8543" max="8543" width="8.140625" style="1320" customWidth="1"/>
    <col min="8544" max="8544" width="9.5703125" style="1320" customWidth="1"/>
    <col min="8545" max="8545" width="13.140625" style="1320" customWidth="1"/>
    <col min="8546" max="8730" width="11.42578125" style="1320"/>
    <col min="8731" max="8731" width="2.85546875" style="1320" customWidth="1"/>
    <col min="8732" max="8732" width="10.85546875" style="1320" customWidth="1"/>
    <col min="8733" max="8733" width="10.28515625" style="1320" customWidth="1"/>
    <col min="8734" max="8734" width="10.5703125" style="1320" customWidth="1"/>
    <col min="8735" max="8735" width="11.85546875" style="1320" customWidth="1"/>
    <col min="8736" max="8736" width="7.5703125" style="1320" customWidth="1"/>
    <col min="8737" max="8739" width="10.28515625" style="1320" customWidth="1"/>
    <col min="8740" max="8740" width="9.85546875" style="1320" customWidth="1"/>
    <col min="8741" max="8741" width="0.28515625" style="1320" customWidth="1"/>
    <col min="8742" max="8742" width="3.85546875" style="1320" customWidth="1"/>
    <col min="8743" max="8746" width="9.85546875" style="1320" customWidth="1"/>
    <col min="8747" max="8748" width="5.28515625" style="1320" customWidth="1"/>
    <col min="8749" max="8752" width="9.85546875" style="1320" customWidth="1"/>
    <col min="8753" max="8753" width="3.85546875" style="1320" customWidth="1"/>
    <col min="8754" max="8754" width="9.85546875" style="1320" customWidth="1"/>
    <col min="8755" max="8755" width="5.28515625" style="1320" customWidth="1"/>
    <col min="8756" max="8756" width="6" style="1320" customWidth="1"/>
    <col min="8757" max="8758" width="9.85546875" style="1320" customWidth="1"/>
    <col min="8759" max="8760" width="5.28515625" style="1320" customWidth="1"/>
    <col min="8761" max="8764" width="9.85546875" style="1320" customWidth="1"/>
    <col min="8765" max="8765" width="3.85546875" style="1320" customWidth="1"/>
    <col min="8766" max="8766" width="8.140625" style="1320" customWidth="1"/>
    <col min="8767" max="8767" width="8.7109375" style="1320" customWidth="1"/>
    <col min="8768" max="8768" width="12.85546875" style="1320" customWidth="1"/>
    <col min="8769" max="8769" width="12.42578125" style="1320" customWidth="1"/>
    <col min="8770" max="8771" width="5.28515625" style="1320" customWidth="1"/>
    <col min="8772" max="8773" width="9.85546875" style="1320" customWidth="1"/>
    <col min="8774" max="8775" width="4.7109375" style="1320" customWidth="1"/>
    <col min="8776" max="8776" width="9.28515625" style="1320" customWidth="1"/>
    <col min="8777" max="8777" width="3.85546875" style="1320" customWidth="1"/>
    <col min="8778" max="8781" width="9.85546875" style="1320" customWidth="1"/>
    <col min="8782" max="8783" width="5.28515625" style="1320" customWidth="1"/>
    <col min="8784" max="8786" width="9.85546875" style="1320" customWidth="1"/>
    <col min="8787" max="8787" width="9.140625" style="1320" customWidth="1"/>
    <col min="8788" max="8788" width="8.140625" style="1320" customWidth="1"/>
    <col min="8789" max="8789" width="9.5703125" style="1320" customWidth="1"/>
    <col min="8790" max="8790" width="13.140625" style="1320" customWidth="1"/>
    <col min="8791" max="8791" width="11.7109375" style="1320" customWidth="1"/>
    <col min="8792" max="8793" width="2.42578125" style="1320" customWidth="1"/>
    <col min="8794" max="8794" width="11.5703125" style="1320" customWidth="1"/>
    <col min="8795" max="8795" width="12.7109375" style="1320" customWidth="1"/>
    <col min="8796" max="8796" width="8.28515625" style="1320" customWidth="1"/>
    <col min="8797" max="8797" width="10.5703125" style="1320" customWidth="1"/>
    <col min="8798" max="8798" width="3.85546875" style="1320" customWidth="1"/>
    <col min="8799" max="8799" width="8.140625" style="1320" customWidth="1"/>
    <col min="8800" max="8800" width="9.5703125" style="1320" customWidth="1"/>
    <col min="8801" max="8801" width="13.140625" style="1320" customWidth="1"/>
    <col min="8802" max="8986" width="11.42578125" style="1320"/>
    <col min="8987" max="8987" width="2.85546875" style="1320" customWidth="1"/>
    <col min="8988" max="8988" width="10.85546875" style="1320" customWidth="1"/>
    <col min="8989" max="8989" width="10.28515625" style="1320" customWidth="1"/>
    <col min="8990" max="8990" width="10.5703125" style="1320" customWidth="1"/>
    <col min="8991" max="8991" width="11.85546875" style="1320" customWidth="1"/>
    <col min="8992" max="8992" width="7.5703125" style="1320" customWidth="1"/>
    <col min="8993" max="8995" width="10.28515625" style="1320" customWidth="1"/>
    <col min="8996" max="8996" width="9.85546875" style="1320" customWidth="1"/>
    <col min="8997" max="8997" width="0.28515625" style="1320" customWidth="1"/>
    <col min="8998" max="8998" width="3.85546875" style="1320" customWidth="1"/>
    <col min="8999" max="9002" width="9.85546875" style="1320" customWidth="1"/>
    <col min="9003" max="9004" width="5.28515625" style="1320" customWidth="1"/>
    <col min="9005" max="9008" width="9.85546875" style="1320" customWidth="1"/>
    <col min="9009" max="9009" width="3.85546875" style="1320" customWidth="1"/>
    <col min="9010" max="9010" width="9.85546875" style="1320" customWidth="1"/>
    <col min="9011" max="9011" width="5.28515625" style="1320" customWidth="1"/>
    <col min="9012" max="9012" width="6" style="1320" customWidth="1"/>
    <col min="9013" max="9014" width="9.85546875" style="1320" customWidth="1"/>
    <col min="9015" max="9016" width="5.28515625" style="1320" customWidth="1"/>
    <col min="9017" max="9020" width="9.85546875" style="1320" customWidth="1"/>
    <col min="9021" max="9021" width="3.85546875" style="1320" customWidth="1"/>
    <col min="9022" max="9022" width="8.140625" style="1320" customWidth="1"/>
    <col min="9023" max="9023" width="8.7109375" style="1320" customWidth="1"/>
    <col min="9024" max="9024" width="12.85546875" style="1320" customWidth="1"/>
    <col min="9025" max="9025" width="12.42578125" style="1320" customWidth="1"/>
    <col min="9026" max="9027" width="5.28515625" style="1320" customWidth="1"/>
    <col min="9028" max="9029" width="9.85546875" style="1320" customWidth="1"/>
    <col min="9030" max="9031" width="4.7109375" style="1320" customWidth="1"/>
    <col min="9032" max="9032" width="9.28515625" style="1320" customWidth="1"/>
    <col min="9033" max="9033" width="3.85546875" style="1320" customWidth="1"/>
    <col min="9034" max="9037" width="9.85546875" style="1320" customWidth="1"/>
    <col min="9038" max="9039" width="5.28515625" style="1320" customWidth="1"/>
    <col min="9040" max="9042" width="9.85546875" style="1320" customWidth="1"/>
    <col min="9043" max="9043" width="9.140625" style="1320" customWidth="1"/>
    <col min="9044" max="9044" width="8.140625" style="1320" customWidth="1"/>
    <col min="9045" max="9045" width="9.5703125" style="1320" customWidth="1"/>
    <col min="9046" max="9046" width="13.140625" style="1320" customWidth="1"/>
    <col min="9047" max="9047" width="11.7109375" style="1320" customWidth="1"/>
    <col min="9048" max="9049" width="2.42578125" style="1320" customWidth="1"/>
    <col min="9050" max="9050" width="11.5703125" style="1320" customWidth="1"/>
    <col min="9051" max="9051" width="12.7109375" style="1320" customWidth="1"/>
    <col min="9052" max="9052" width="8.28515625" style="1320" customWidth="1"/>
    <col min="9053" max="9053" width="10.5703125" style="1320" customWidth="1"/>
    <col min="9054" max="9054" width="3.85546875" style="1320" customWidth="1"/>
    <col min="9055" max="9055" width="8.140625" style="1320" customWidth="1"/>
    <col min="9056" max="9056" width="9.5703125" style="1320" customWidth="1"/>
    <col min="9057" max="9057" width="13.140625" style="1320" customWidth="1"/>
    <col min="9058" max="9242" width="11.42578125" style="1320"/>
    <col min="9243" max="9243" width="2.85546875" style="1320" customWidth="1"/>
    <col min="9244" max="9244" width="10.85546875" style="1320" customWidth="1"/>
    <col min="9245" max="9245" width="10.28515625" style="1320" customWidth="1"/>
    <col min="9246" max="9246" width="10.5703125" style="1320" customWidth="1"/>
    <col min="9247" max="9247" width="11.85546875" style="1320" customWidth="1"/>
    <col min="9248" max="9248" width="7.5703125" style="1320" customWidth="1"/>
    <col min="9249" max="9251" width="10.28515625" style="1320" customWidth="1"/>
    <col min="9252" max="9252" width="9.85546875" style="1320" customWidth="1"/>
    <col min="9253" max="9253" width="0.28515625" style="1320" customWidth="1"/>
    <col min="9254" max="9254" width="3.85546875" style="1320" customWidth="1"/>
    <col min="9255" max="9258" width="9.85546875" style="1320" customWidth="1"/>
    <col min="9259" max="9260" width="5.28515625" style="1320" customWidth="1"/>
    <col min="9261" max="9264" width="9.85546875" style="1320" customWidth="1"/>
    <col min="9265" max="9265" width="3.85546875" style="1320" customWidth="1"/>
    <col min="9266" max="9266" width="9.85546875" style="1320" customWidth="1"/>
    <col min="9267" max="9267" width="5.28515625" style="1320" customWidth="1"/>
    <col min="9268" max="9268" width="6" style="1320" customWidth="1"/>
    <col min="9269" max="9270" width="9.85546875" style="1320" customWidth="1"/>
    <col min="9271" max="9272" width="5.28515625" style="1320" customWidth="1"/>
    <col min="9273" max="9276" width="9.85546875" style="1320" customWidth="1"/>
    <col min="9277" max="9277" width="3.85546875" style="1320" customWidth="1"/>
    <col min="9278" max="9278" width="8.140625" style="1320" customWidth="1"/>
    <col min="9279" max="9279" width="8.7109375" style="1320" customWidth="1"/>
    <col min="9280" max="9280" width="12.85546875" style="1320" customWidth="1"/>
    <col min="9281" max="9281" width="12.42578125" style="1320" customWidth="1"/>
    <col min="9282" max="9283" width="5.28515625" style="1320" customWidth="1"/>
    <col min="9284" max="9285" width="9.85546875" style="1320" customWidth="1"/>
    <col min="9286" max="9287" width="4.7109375" style="1320" customWidth="1"/>
    <col min="9288" max="9288" width="9.28515625" style="1320" customWidth="1"/>
    <col min="9289" max="9289" width="3.85546875" style="1320" customWidth="1"/>
    <col min="9290" max="9293" width="9.85546875" style="1320" customWidth="1"/>
    <col min="9294" max="9295" width="5.28515625" style="1320" customWidth="1"/>
    <col min="9296" max="9298" width="9.85546875" style="1320" customWidth="1"/>
    <col min="9299" max="9299" width="9.140625" style="1320" customWidth="1"/>
    <col min="9300" max="9300" width="8.140625" style="1320" customWidth="1"/>
    <col min="9301" max="9301" width="9.5703125" style="1320" customWidth="1"/>
    <col min="9302" max="9302" width="13.140625" style="1320" customWidth="1"/>
    <col min="9303" max="9303" width="11.7109375" style="1320" customWidth="1"/>
    <col min="9304" max="9305" width="2.42578125" style="1320" customWidth="1"/>
    <col min="9306" max="9306" width="11.5703125" style="1320" customWidth="1"/>
    <col min="9307" max="9307" width="12.7109375" style="1320" customWidth="1"/>
    <col min="9308" max="9308" width="8.28515625" style="1320" customWidth="1"/>
    <col min="9309" max="9309" width="10.5703125" style="1320" customWidth="1"/>
    <col min="9310" max="9310" width="3.85546875" style="1320" customWidth="1"/>
    <col min="9311" max="9311" width="8.140625" style="1320" customWidth="1"/>
    <col min="9312" max="9312" width="9.5703125" style="1320" customWidth="1"/>
    <col min="9313" max="9313" width="13.140625" style="1320" customWidth="1"/>
    <col min="9314" max="9498" width="11.42578125" style="1320"/>
    <col min="9499" max="9499" width="2.85546875" style="1320" customWidth="1"/>
    <col min="9500" max="9500" width="10.85546875" style="1320" customWidth="1"/>
    <col min="9501" max="9501" width="10.28515625" style="1320" customWidth="1"/>
    <col min="9502" max="9502" width="10.5703125" style="1320" customWidth="1"/>
    <col min="9503" max="9503" width="11.85546875" style="1320" customWidth="1"/>
    <col min="9504" max="9504" width="7.5703125" style="1320" customWidth="1"/>
    <col min="9505" max="9507" width="10.28515625" style="1320" customWidth="1"/>
    <col min="9508" max="9508" width="9.85546875" style="1320" customWidth="1"/>
    <col min="9509" max="9509" width="0.28515625" style="1320" customWidth="1"/>
    <col min="9510" max="9510" width="3.85546875" style="1320" customWidth="1"/>
    <col min="9511" max="9514" width="9.85546875" style="1320" customWidth="1"/>
    <col min="9515" max="9516" width="5.28515625" style="1320" customWidth="1"/>
    <col min="9517" max="9520" width="9.85546875" style="1320" customWidth="1"/>
    <col min="9521" max="9521" width="3.85546875" style="1320" customWidth="1"/>
    <col min="9522" max="9522" width="9.85546875" style="1320" customWidth="1"/>
    <col min="9523" max="9523" width="5.28515625" style="1320" customWidth="1"/>
    <col min="9524" max="9524" width="6" style="1320" customWidth="1"/>
    <col min="9525" max="9526" width="9.85546875" style="1320" customWidth="1"/>
    <col min="9527" max="9528" width="5.28515625" style="1320" customWidth="1"/>
    <col min="9529" max="9532" width="9.85546875" style="1320" customWidth="1"/>
    <col min="9533" max="9533" width="3.85546875" style="1320" customWidth="1"/>
    <col min="9534" max="9534" width="8.140625" style="1320" customWidth="1"/>
    <col min="9535" max="9535" width="8.7109375" style="1320" customWidth="1"/>
    <col min="9536" max="9536" width="12.85546875" style="1320" customWidth="1"/>
    <col min="9537" max="9537" width="12.42578125" style="1320" customWidth="1"/>
    <col min="9538" max="9539" width="5.28515625" style="1320" customWidth="1"/>
    <col min="9540" max="9541" width="9.85546875" style="1320" customWidth="1"/>
    <col min="9542" max="9543" width="4.7109375" style="1320" customWidth="1"/>
    <col min="9544" max="9544" width="9.28515625" style="1320" customWidth="1"/>
    <col min="9545" max="9545" width="3.85546875" style="1320" customWidth="1"/>
    <col min="9546" max="9549" width="9.85546875" style="1320" customWidth="1"/>
    <col min="9550" max="9551" width="5.28515625" style="1320" customWidth="1"/>
    <col min="9552" max="9554" width="9.85546875" style="1320" customWidth="1"/>
    <col min="9555" max="9555" width="9.140625" style="1320" customWidth="1"/>
    <col min="9556" max="9556" width="8.140625" style="1320" customWidth="1"/>
    <col min="9557" max="9557" width="9.5703125" style="1320" customWidth="1"/>
    <col min="9558" max="9558" width="13.140625" style="1320" customWidth="1"/>
    <col min="9559" max="9559" width="11.7109375" style="1320" customWidth="1"/>
    <col min="9560" max="9561" width="2.42578125" style="1320" customWidth="1"/>
    <col min="9562" max="9562" width="11.5703125" style="1320" customWidth="1"/>
    <col min="9563" max="9563" width="12.7109375" style="1320" customWidth="1"/>
    <col min="9564" max="9564" width="8.28515625" style="1320" customWidth="1"/>
    <col min="9565" max="9565" width="10.5703125" style="1320" customWidth="1"/>
    <col min="9566" max="9566" width="3.85546875" style="1320" customWidth="1"/>
    <col min="9567" max="9567" width="8.140625" style="1320" customWidth="1"/>
    <col min="9568" max="9568" width="9.5703125" style="1320" customWidth="1"/>
    <col min="9569" max="9569" width="13.140625" style="1320" customWidth="1"/>
    <col min="9570" max="9754" width="11.42578125" style="1320"/>
    <col min="9755" max="9755" width="2.85546875" style="1320" customWidth="1"/>
    <col min="9756" max="9756" width="10.85546875" style="1320" customWidth="1"/>
    <col min="9757" max="9757" width="10.28515625" style="1320" customWidth="1"/>
    <col min="9758" max="9758" width="10.5703125" style="1320" customWidth="1"/>
    <col min="9759" max="9759" width="11.85546875" style="1320" customWidth="1"/>
    <col min="9760" max="9760" width="7.5703125" style="1320" customWidth="1"/>
    <col min="9761" max="9763" width="10.28515625" style="1320" customWidth="1"/>
    <col min="9764" max="9764" width="9.85546875" style="1320" customWidth="1"/>
    <col min="9765" max="9765" width="0.28515625" style="1320" customWidth="1"/>
    <col min="9766" max="9766" width="3.85546875" style="1320" customWidth="1"/>
    <col min="9767" max="9770" width="9.85546875" style="1320" customWidth="1"/>
    <col min="9771" max="9772" width="5.28515625" style="1320" customWidth="1"/>
    <col min="9773" max="9776" width="9.85546875" style="1320" customWidth="1"/>
    <col min="9777" max="9777" width="3.85546875" style="1320" customWidth="1"/>
    <col min="9778" max="9778" width="9.85546875" style="1320" customWidth="1"/>
    <col min="9779" max="9779" width="5.28515625" style="1320" customWidth="1"/>
    <col min="9780" max="9780" width="6" style="1320" customWidth="1"/>
    <col min="9781" max="9782" width="9.85546875" style="1320" customWidth="1"/>
    <col min="9783" max="9784" width="5.28515625" style="1320" customWidth="1"/>
    <col min="9785" max="9788" width="9.85546875" style="1320" customWidth="1"/>
    <col min="9789" max="9789" width="3.85546875" style="1320" customWidth="1"/>
    <col min="9790" max="9790" width="8.140625" style="1320" customWidth="1"/>
    <col min="9791" max="9791" width="8.7109375" style="1320" customWidth="1"/>
    <col min="9792" max="9792" width="12.85546875" style="1320" customWidth="1"/>
    <col min="9793" max="9793" width="12.42578125" style="1320" customWidth="1"/>
    <col min="9794" max="9795" width="5.28515625" style="1320" customWidth="1"/>
    <col min="9796" max="9797" width="9.85546875" style="1320" customWidth="1"/>
    <col min="9798" max="9799" width="4.7109375" style="1320" customWidth="1"/>
    <col min="9800" max="9800" width="9.28515625" style="1320" customWidth="1"/>
    <col min="9801" max="9801" width="3.85546875" style="1320" customWidth="1"/>
    <col min="9802" max="9805" width="9.85546875" style="1320" customWidth="1"/>
    <col min="9806" max="9807" width="5.28515625" style="1320" customWidth="1"/>
    <col min="9808" max="9810" width="9.85546875" style="1320" customWidth="1"/>
    <col min="9811" max="9811" width="9.140625" style="1320" customWidth="1"/>
    <col min="9812" max="9812" width="8.140625" style="1320" customWidth="1"/>
    <col min="9813" max="9813" width="9.5703125" style="1320" customWidth="1"/>
    <col min="9814" max="9814" width="13.140625" style="1320" customWidth="1"/>
    <col min="9815" max="9815" width="11.7109375" style="1320" customWidth="1"/>
    <col min="9816" max="9817" width="2.42578125" style="1320" customWidth="1"/>
    <col min="9818" max="9818" width="11.5703125" style="1320" customWidth="1"/>
    <col min="9819" max="9819" width="12.7109375" style="1320" customWidth="1"/>
    <col min="9820" max="9820" width="8.28515625" style="1320" customWidth="1"/>
    <col min="9821" max="9821" width="10.5703125" style="1320" customWidth="1"/>
    <col min="9822" max="9822" width="3.85546875" style="1320" customWidth="1"/>
    <col min="9823" max="9823" width="8.140625" style="1320" customWidth="1"/>
    <col min="9824" max="9824" width="9.5703125" style="1320" customWidth="1"/>
    <col min="9825" max="9825" width="13.140625" style="1320" customWidth="1"/>
    <col min="9826" max="10010" width="11.42578125" style="1320"/>
    <col min="10011" max="10011" width="2.85546875" style="1320" customWidth="1"/>
    <col min="10012" max="10012" width="10.85546875" style="1320" customWidth="1"/>
    <col min="10013" max="10013" width="10.28515625" style="1320" customWidth="1"/>
    <col min="10014" max="10014" width="10.5703125" style="1320" customWidth="1"/>
    <col min="10015" max="10015" width="11.85546875" style="1320" customWidth="1"/>
    <col min="10016" max="10016" width="7.5703125" style="1320" customWidth="1"/>
    <col min="10017" max="10019" width="10.28515625" style="1320" customWidth="1"/>
    <col min="10020" max="10020" width="9.85546875" style="1320" customWidth="1"/>
    <col min="10021" max="10021" width="0.28515625" style="1320" customWidth="1"/>
    <col min="10022" max="10022" width="3.85546875" style="1320" customWidth="1"/>
    <col min="10023" max="10026" width="9.85546875" style="1320" customWidth="1"/>
    <col min="10027" max="10028" width="5.28515625" style="1320" customWidth="1"/>
    <col min="10029" max="10032" width="9.85546875" style="1320" customWidth="1"/>
    <col min="10033" max="10033" width="3.85546875" style="1320" customWidth="1"/>
    <col min="10034" max="10034" width="9.85546875" style="1320" customWidth="1"/>
    <col min="10035" max="10035" width="5.28515625" style="1320" customWidth="1"/>
    <col min="10036" max="10036" width="6" style="1320" customWidth="1"/>
    <col min="10037" max="10038" width="9.85546875" style="1320" customWidth="1"/>
    <col min="10039" max="10040" width="5.28515625" style="1320" customWidth="1"/>
    <col min="10041" max="10044" width="9.85546875" style="1320" customWidth="1"/>
    <col min="10045" max="10045" width="3.85546875" style="1320" customWidth="1"/>
    <col min="10046" max="10046" width="8.140625" style="1320" customWidth="1"/>
    <col min="10047" max="10047" width="8.7109375" style="1320" customWidth="1"/>
    <col min="10048" max="10048" width="12.85546875" style="1320" customWidth="1"/>
    <col min="10049" max="10049" width="12.42578125" style="1320" customWidth="1"/>
    <col min="10050" max="10051" width="5.28515625" style="1320" customWidth="1"/>
    <col min="10052" max="10053" width="9.85546875" style="1320" customWidth="1"/>
    <col min="10054" max="10055" width="4.7109375" style="1320" customWidth="1"/>
    <col min="10056" max="10056" width="9.28515625" style="1320" customWidth="1"/>
    <col min="10057" max="10057" width="3.85546875" style="1320" customWidth="1"/>
    <col min="10058" max="10061" width="9.85546875" style="1320" customWidth="1"/>
    <col min="10062" max="10063" width="5.28515625" style="1320" customWidth="1"/>
    <col min="10064" max="10066" width="9.85546875" style="1320" customWidth="1"/>
    <col min="10067" max="10067" width="9.140625" style="1320" customWidth="1"/>
    <col min="10068" max="10068" width="8.140625" style="1320" customWidth="1"/>
    <col min="10069" max="10069" width="9.5703125" style="1320" customWidth="1"/>
    <col min="10070" max="10070" width="13.140625" style="1320" customWidth="1"/>
    <col min="10071" max="10071" width="11.7109375" style="1320" customWidth="1"/>
    <col min="10072" max="10073" width="2.42578125" style="1320" customWidth="1"/>
    <col min="10074" max="10074" width="11.5703125" style="1320" customWidth="1"/>
    <col min="10075" max="10075" width="12.7109375" style="1320" customWidth="1"/>
    <col min="10076" max="10076" width="8.28515625" style="1320" customWidth="1"/>
    <col min="10077" max="10077" width="10.5703125" style="1320" customWidth="1"/>
    <col min="10078" max="10078" width="3.85546875" style="1320" customWidth="1"/>
    <col min="10079" max="10079" width="8.140625" style="1320" customWidth="1"/>
    <col min="10080" max="10080" width="9.5703125" style="1320" customWidth="1"/>
    <col min="10081" max="10081" width="13.140625" style="1320" customWidth="1"/>
    <col min="10082" max="10266" width="11.42578125" style="1320"/>
    <col min="10267" max="10267" width="2.85546875" style="1320" customWidth="1"/>
    <col min="10268" max="10268" width="10.85546875" style="1320" customWidth="1"/>
    <col min="10269" max="10269" width="10.28515625" style="1320" customWidth="1"/>
    <col min="10270" max="10270" width="10.5703125" style="1320" customWidth="1"/>
    <col min="10271" max="10271" width="11.85546875" style="1320" customWidth="1"/>
    <col min="10272" max="10272" width="7.5703125" style="1320" customWidth="1"/>
    <col min="10273" max="10275" width="10.28515625" style="1320" customWidth="1"/>
    <col min="10276" max="10276" width="9.85546875" style="1320" customWidth="1"/>
    <col min="10277" max="10277" width="0.28515625" style="1320" customWidth="1"/>
    <col min="10278" max="10278" width="3.85546875" style="1320" customWidth="1"/>
    <col min="10279" max="10282" width="9.85546875" style="1320" customWidth="1"/>
    <col min="10283" max="10284" width="5.28515625" style="1320" customWidth="1"/>
    <col min="10285" max="10288" width="9.85546875" style="1320" customWidth="1"/>
    <col min="10289" max="10289" width="3.85546875" style="1320" customWidth="1"/>
    <col min="10290" max="10290" width="9.85546875" style="1320" customWidth="1"/>
    <col min="10291" max="10291" width="5.28515625" style="1320" customWidth="1"/>
    <col min="10292" max="10292" width="6" style="1320" customWidth="1"/>
    <col min="10293" max="10294" width="9.85546875" style="1320" customWidth="1"/>
    <col min="10295" max="10296" width="5.28515625" style="1320" customWidth="1"/>
    <col min="10297" max="10300" width="9.85546875" style="1320" customWidth="1"/>
    <col min="10301" max="10301" width="3.85546875" style="1320" customWidth="1"/>
    <col min="10302" max="10302" width="8.140625" style="1320" customWidth="1"/>
    <col min="10303" max="10303" width="8.7109375" style="1320" customWidth="1"/>
    <col min="10304" max="10304" width="12.85546875" style="1320" customWidth="1"/>
    <col min="10305" max="10305" width="12.42578125" style="1320" customWidth="1"/>
    <col min="10306" max="10307" width="5.28515625" style="1320" customWidth="1"/>
    <col min="10308" max="10309" width="9.85546875" style="1320" customWidth="1"/>
    <col min="10310" max="10311" width="4.7109375" style="1320" customWidth="1"/>
    <col min="10312" max="10312" width="9.28515625" style="1320" customWidth="1"/>
    <col min="10313" max="10313" width="3.85546875" style="1320" customWidth="1"/>
    <col min="10314" max="10317" width="9.85546875" style="1320" customWidth="1"/>
    <col min="10318" max="10319" width="5.28515625" style="1320" customWidth="1"/>
    <col min="10320" max="10322" width="9.85546875" style="1320" customWidth="1"/>
    <col min="10323" max="10323" width="9.140625" style="1320" customWidth="1"/>
    <col min="10324" max="10324" width="8.140625" style="1320" customWidth="1"/>
    <col min="10325" max="10325" width="9.5703125" style="1320" customWidth="1"/>
    <col min="10326" max="10326" width="13.140625" style="1320" customWidth="1"/>
    <col min="10327" max="10327" width="11.7109375" style="1320" customWidth="1"/>
    <col min="10328" max="10329" width="2.42578125" style="1320" customWidth="1"/>
    <col min="10330" max="10330" width="11.5703125" style="1320" customWidth="1"/>
    <col min="10331" max="10331" width="12.7109375" style="1320" customWidth="1"/>
    <col min="10332" max="10332" width="8.28515625" style="1320" customWidth="1"/>
    <col min="10333" max="10333" width="10.5703125" style="1320" customWidth="1"/>
    <col min="10334" max="10334" width="3.85546875" style="1320" customWidth="1"/>
    <col min="10335" max="10335" width="8.140625" style="1320" customWidth="1"/>
    <col min="10336" max="10336" width="9.5703125" style="1320" customWidth="1"/>
    <col min="10337" max="10337" width="13.140625" style="1320" customWidth="1"/>
    <col min="10338" max="10522" width="11.42578125" style="1320"/>
    <col min="10523" max="10523" width="2.85546875" style="1320" customWidth="1"/>
    <col min="10524" max="10524" width="10.85546875" style="1320" customWidth="1"/>
    <col min="10525" max="10525" width="10.28515625" style="1320" customWidth="1"/>
    <col min="10526" max="10526" width="10.5703125" style="1320" customWidth="1"/>
    <col min="10527" max="10527" width="11.85546875" style="1320" customWidth="1"/>
    <col min="10528" max="10528" width="7.5703125" style="1320" customWidth="1"/>
    <col min="10529" max="10531" width="10.28515625" style="1320" customWidth="1"/>
    <col min="10532" max="10532" width="9.85546875" style="1320" customWidth="1"/>
    <col min="10533" max="10533" width="0.28515625" style="1320" customWidth="1"/>
    <col min="10534" max="10534" width="3.85546875" style="1320" customWidth="1"/>
    <col min="10535" max="10538" width="9.85546875" style="1320" customWidth="1"/>
    <col min="10539" max="10540" width="5.28515625" style="1320" customWidth="1"/>
    <col min="10541" max="10544" width="9.85546875" style="1320" customWidth="1"/>
    <col min="10545" max="10545" width="3.85546875" style="1320" customWidth="1"/>
    <col min="10546" max="10546" width="9.85546875" style="1320" customWidth="1"/>
    <col min="10547" max="10547" width="5.28515625" style="1320" customWidth="1"/>
    <col min="10548" max="10548" width="6" style="1320" customWidth="1"/>
    <col min="10549" max="10550" width="9.85546875" style="1320" customWidth="1"/>
    <col min="10551" max="10552" width="5.28515625" style="1320" customWidth="1"/>
    <col min="10553" max="10556" width="9.85546875" style="1320" customWidth="1"/>
    <col min="10557" max="10557" width="3.85546875" style="1320" customWidth="1"/>
    <col min="10558" max="10558" width="8.140625" style="1320" customWidth="1"/>
    <col min="10559" max="10559" width="8.7109375" style="1320" customWidth="1"/>
    <col min="10560" max="10560" width="12.85546875" style="1320" customWidth="1"/>
    <col min="10561" max="10561" width="12.42578125" style="1320" customWidth="1"/>
    <col min="10562" max="10563" width="5.28515625" style="1320" customWidth="1"/>
    <col min="10564" max="10565" width="9.85546875" style="1320" customWidth="1"/>
    <col min="10566" max="10567" width="4.7109375" style="1320" customWidth="1"/>
    <col min="10568" max="10568" width="9.28515625" style="1320" customWidth="1"/>
    <col min="10569" max="10569" width="3.85546875" style="1320" customWidth="1"/>
    <col min="10570" max="10573" width="9.85546875" style="1320" customWidth="1"/>
    <col min="10574" max="10575" width="5.28515625" style="1320" customWidth="1"/>
    <col min="10576" max="10578" width="9.85546875" style="1320" customWidth="1"/>
    <col min="10579" max="10579" width="9.140625" style="1320" customWidth="1"/>
    <col min="10580" max="10580" width="8.140625" style="1320" customWidth="1"/>
    <col min="10581" max="10581" width="9.5703125" style="1320" customWidth="1"/>
    <col min="10582" max="10582" width="13.140625" style="1320" customWidth="1"/>
    <col min="10583" max="10583" width="11.7109375" style="1320" customWidth="1"/>
    <col min="10584" max="10585" width="2.42578125" style="1320" customWidth="1"/>
    <col min="10586" max="10586" width="11.5703125" style="1320" customWidth="1"/>
    <col min="10587" max="10587" width="12.7109375" style="1320" customWidth="1"/>
    <col min="10588" max="10588" width="8.28515625" style="1320" customWidth="1"/>
    <col min="10589" max="10589" width="10.5703125" style="1320" customWidth="1"/>
    <col min="10590" max="10590" width="3.85546875" style="1320" customWidth="1"/>
    <col min="10591" max="10591" width="8.140625" style="1320" customWidth="1"/>
    <col min="10592" max="10592" width="9.5703125" style="1320" customWidth="1"/>
    <col min="10593" max="10593" width="13.140625" style="1320" customWidth="1"/>
    <col min="10594" max="10778" width="11.42578125" style="1320"/>
    <col min="10779" max="10779" width="2.85546875" style="1320" customWidth="1"/>
    <col min="10780" max="10780" width="10.85546875" style="1320" customWidth="1"/>
    <col min="10781" max="10781" width="10.28515625" style="1320" customWidth="1"/>
    <col min="10782" max="10782" width="10.5703125" style="1320" customWidth="1"/>
    <col min="10783" max="10783" width="11.85546875" style="1320" customWidth="1"/>
    <col min="10784" max="10784" width="7.5703125" style="1320" customWidth="1"/>
    <col min="10785" max="10787" width="10.28515625" style="1320" customWidth="1"/>
    <col min="10788" max="10788" width="9.85546875" style="1320" customWidth="1"/>
    <col min="10789" max="10789" width="0.28515625" style="1320" customWidth="1"/>
    <col min="10790" max="10790" width="3.85546875" style="1320" customWidth="1"/>
    <col min="10791" max="10794" width="9.85546875" style="1320" customWidth="1"/>
    <col min="10795" max="10796" width="5.28515625" style="1320" customWidth="1"/>
    <col min="10797" max="10800" width="9.85546875" style="1320" customWidth="1"/>
    <col min="10801" max="10801" width="3.85546875" style="1320" customWidth="1"/>
    <col min="10802" max="10802" width="9.85546875" style="1320" customWidth="1"/>
    <col min="10803" max="10803" width="5.28515625" style="1320" customWidth="1"/>
    <col min="10804" max="10804" width="6" style="1320" customWidth="1"/>
    <col min="10805" max="10806" width="9.85546875" style="1320" customWidth="1"/>
    <col min="10807" max="10808" width="5.28515625" style="1320" customWidth="1"/>
    <col min="10809" max="10812" width="9.85546875" style="1320" customWidth="1"/>
    <col min="10813" max="10813" width="3.85546875" style="1320" customWidth="1"/>
    <col min="10814" max="10814" width="8.140625" style="1320" customWidth="1"/>
    <col min="10815" max="10815" width="8.7109375" style="1320" customWidth="1"/>
    <col min="10816" max="10816" width="12.85546875" style="1320" customWidth="1"/>
    <col min="10817" max="10817" width="12.42578125" style="1320" customWidth="1"/>
    <col min="10818" max="10819" width="5.28515625" style="1320" customWidth="1"/>
    <col min="10820" max="10821" width="9.85546875" style="1320" customWidth="1"/>
    <col min="10822" max="10823" width="4.7109375" style="1320" customWidth="1"/>
    <col min="10824" max="10824" width="9.28515625" style="1320" customWidth="1"/>
    <col min="10825" max="10825" width="3.85546875" style="1320" customWidth="1"/>
    <col min="10826" max="10829" width="9.85546875" style="1320" customWidth="1"/>
    <col min="10830" max="10831" width="5.28515625" style="1320" customWidth="1"/>
    <col min="10832" max="10834" width="9.85546875" style="1320" customWidth="1"/>
    <col min="10835" max="10835" width="9.140625" style="1320" customWidth="1"/>
    <col min="10836" max="10836" width="8.140625" style="1320" customWidth="1"/>
    <col min="10837" max="10837" width="9.5703125" style="1320" customWidth="1"/>
    <col min="10838" max="10838" width="13.140625" style="1320" customWidth="1"/>
    <col min="10839" max="10839" width="11.7109375" style="1320" customWidth="1"/>
    <col min="10840" max="10841" width="2.42578125" style="1320" customWidth="1"/>
    <col min="10842" max="10842" width="11.5703125" style="1320" customWidth="1"/>
    <col min="10843" max="10843" width="12.7109375" style="1320" customWidth="1"/>
    <col min="10844" max="10844" width="8.28515625" style="1320" customWidth="1"/>
    <col min="10845" max="10845" width="10.5703125" style="1320" customWidth="1"/>
    <col min="10846" max="10846" width="3.85546875" style="1320" customWidth="1"/>
    <col min="10847" max="10847" width="8.140625" style="1320" customWidth="1"/>
    <col min="10848" max="10848" width="9.5703125" style="1320" customWidth="1"/>
    <col min="10849" max="10849" width="13.140625" style="1320" customWidth="1"/>
    <col min="10850" max="11034" width="11.42578125" style="1320"/>
    <col min="11035" max="11035" width="2.85546875" style="1320" customWidth="1"/>
    <col min="11036" max="11036" width="10.85546875" style="1320" customWidth="1"/>
    <col min="11037" max="11037" width="10.28515625" style="1320" customWidth="1"/>
    <col min="11038" max="11038" width="10.5703125" style="1320" customWidth="1"/>
    <col min="11039" max="11039" width="11.85546875" style="1320" customWidth="1"/>
    <col min="11040" max="11040" width="7.5703125" style="1320" customWidth="1"/>
    <col min="11041" max="11043" width="10.28515625" style="1320" customWidth="1"/>
    <col min="11044" max="11044" width="9.85546875" style="1320" customWidth="1"/>
    <col min="11045" max="11045" width="0.28515625" style="1320" customWidth="1"/>
    <col min="11046" max="11046" width="3.85546875" style="1320" customWidth="1"/>
    <col min="11047" max="11050" width="9.85546875" style="1320" customWidth="1"/>
    <col min="11051" max="11052" width="5.28515625" style="1320" customWidth="1"/>
    <col min="11053" max="11056" width="9.85546875" style="1320" customWidth="1"/>
    <col min="11057" max="11057" width="3.85546875" style="1320" customWidth="1"/>
    <col min="11058" max="11058" width="9.85546875" style="1320" customWidth="1"/>
    <col min="11059" max="11059" width="5.28515625" style="1320" customWidth="1"/>
    <col min="11060" max="11060" width="6" style="1320" customWidth="1"/>
    <col min="11061" max="11062" width="9.85546875" style="1320" customWidth="1"/>
    <col min="11063" max="11064" width="5.28515625" style="1320" customWidth="1"/>
    <col min="11065" max="11068" width="9.85546875" style="1320" customWidth="1"/>
    <col min="11069" max="11069" width="3.85546875" style="1320" customWidth="1"/>
    <col min="11070" max="11070" width="8.140625" style="1320" customWidth="1"/>
    <col min="11071" max="11071" width="8.7109375" style="1320" customWidth="1"/>
    <col min="11072" max="11072" width="12.85546875" style="1320" customWidth="1"/>
    <col min="11073" max="11073" width="12.42578125" style="1320" customWidth="1"/>
    <col min="11074" max="11075" width="5.28515625" style="1320" customWidth="1"/>
    <col min="11076" max="11077" width="9.85546875" style="1320" customWidth="1"/>
    <col min="11078" max="11079" width="4.7109375" style="1320" customWidth="1"/>
    <col min="11080" max="11080" width="9.28515625" style="1320" customWidth="1"/>
    <col min="11081" max="11081" width="3.85546875" style="1320" customWidth="1"/>
    <col min="11082" max="11085" width="9.85546875" style="1320" customWidth="1"/>
    <col min="11086" max="11087" width="5.28515625" style="1320" customWidth="1"/>
    <col min="11088" max="11090" width="9.85546875" style="1320" customWidth="1"/>
    <col min="11091" max="11091" width="9.140625" style="1320" customWidth="1"/>
    <col min="11092" max="11092" width="8.140625" style="1320" customWidth="1"/>
    <col min="11093" max="11093" width="9.5703125" style="1320" customWidth="1"/>
    <col min="11094" max="11094" width="13.140625" style="1320" customWidth="1"/>
    <col min="11095" max="11095" width="11.7109375" style="1320" customWidth="1"/>
    <col min="11096" max="11097" width="2.42578125" style="1320" customWidth="1"/>
    <col min="11098" max="11098" width="11.5703125" style="1320" customWidth="1"/>
    <col min="11099" max="11099" width="12.7109375" style="1320" customWidth="1"/>
    <col min="11100" max="11100" width="8.28515625" style="1320" customWidth="1"/>
    <col min="11101" max="11101" width="10.5703125" style="1320" customWidth="1"/>
    <col min="11102" max="11102" width="3.85546875" style="1320" customWidth="1"/>
    <col min="11103" max="11103" width="8.140625" style="1320" customWidth="1"/>
    <col min="11104" max="11104" width="9.5703125" style="1320" customWidth="1"/>
    <col min="11105" max="11105" width="13.140625" style="1320" customWidth="1"/>
    <col min="11106" max="11290" width="11.42578125" style="1320"/>
    <col min="11291" max="11291" width="2.85546875" style="1320" customWidth="1"/>
    <col min="11292" max="11292" width="10.85546875" style="1320" customWidth="1"/>
    <col min="11293" max="11293" width="10.28515625" style="1320" customWidth="1"/>
    <col min="11294" max="11294" width="10.5703125" style="1320" customWidth="1"/>
    <col min="11295" max="11295" width="11.85546875" style="1320" customWidth="1"/>
    <col min="11296" max="11296" width="7.5703125" style="1320" customWidth="1"/>
    <col min="11297" max="11299" width="10.28515625" style="1320" customWidth="1"/>
    <col min="11300" max="11300" width="9.85546875" style="1320" customWidth="1"/>
    <col min="11301" max="11301" width="0.28515625" style="1320" customWidth="1"/>
    <col min="11302" max="11302" width="3.85546875" style="1320" customWidth="1"/>
    <col min="11303" max="11306" width="9.85546875" style="1320" customWidth="1"/>
    <col min="11307" max="11308" width="5.28515625" style="1320" customWidth="1"/>
    <col min="11309" max="11312" width="9.85546875" style="1320" customWidth="1"/>
    <col min="11313" max="11313" width="3.85546875" style="1320" customWidth="1"/>
    <col min="11314" max="11314" width="9.85546875" style="1320" customWidth="1"/>
    <col min="11315" max="11315" width="5.28515625" style="1320" customWidth="1"/>
    <col min="11316" max="11316" width="6" style="1320" customWidth="1"/>
    <col min="11317" max="11318" width="9.85546875" style="1320" customWidth="1"/>
    <col min="11319" max="11320" width="5.28515625" style="1320" customWidth="1"/>
    <col min="11321" max="11324" width="9.85546875" style="1320" customWidth="1"/>
    <col min="11325" max="11325" width="3.85546875" style="1320" customWidth="1"/>
    <col min="11326" max="11326" width="8.140625" style="1320" customWidth="1"/>
    <col min="11327" max="11327" width="8.7109375" style="1320" customWidth="1"/>
    <col min="11328" max="11328" width="12.85546875" style="1320" customWidth="1"/>
    <col min="11329" max="11329" width="12.42578125" style="1320" customWidth="1"/>
    <col min="11330" max="11331" width="5.28515625" style="1320" customWidth="1"/>
    <col min="11332" max="11333" width="9.85546875" style="1320" customWidth="1"/>
    <col min="11334" max="11335" width="4.7109375" style="1320" customWidth="1"/>
    <col min="11336" max="11336" width="9.28515625" style="1320" customWidth="1"/>
    <col min="11337" max="11337" width="3.85546875" style="1320" customWidth="1"/>
    <col min="11338" max="11341" width="9.85546875" style="1320" customWidth="1"/>
    <col min="11342" max="11343" width="5.28515625" style="1320" customWidth="1"/>
    <col min="11344" max="11346" width="9.85546875" style="1320" customWidth="1"/>
    <col min="11347" max="11347" width="9.140625" style="1320" customWidth="1"/>
    <col min="11348" max="11348" width="8.140625" style="1320" customWidth="1"/>
    <col min="11349" max="11349" width="9.5703125" style="1320" customWidth="1"/>
    <col min="11350" max="11350" width="13.140625" style="1320" customWidth="1"/>
    <col min="11351" max="11351" width="11.7109375" style="1320" customWidth="1"/>
    <col min="11352" max="11353" width="2.42578125" style="1320" customWidth="1"/>
    <col min="11354" max="11354" width="11.5703125" style="1320" customWidth="1"/>
    <col min="11355" max="11355" width="12.7109375" style="1320" customWidth="1"/>
    <col min="11356" max="11356" width="8.28515625" style="1320" customWidth="1"/>
    <col min="11357" max="11357" width="10.5703125" style="1320" customWidth="1"/>
    <col min="11358" max="11358" width="3.85546875" style="1320" customWidth="1"/>
    <col min="11359" max="11359" width="8.140625" style="1320" customWidth="1"/>
    <col min="11360" max="11360" width="9.5703125" style="1320" customWidth="1"/>
    <col min="11361" max="11361" width="13.140625" style="1320" customWidth="1"/>
    <col min="11362" max="11546" width="11.42578125" style="1320"/>
    <col min="11547" max="11547" width="2.85546875" style="1320" customWidth="1"/>
    <col min="11548" max="11548" width="10.85546875" style="1320" customWidth="1"/>
    <col min="11549" max="11549" width="10.28515625" style="1320" customWidth="1"/>
    <col min="11550" max="11550" width="10.5703125" style="1320" customWidth="1"/>
    <col min="11551" max="11551" width="11.85546875" style="1320" customWidth="1"/>
    <col min="11552" max="11552" width="7.5703125" style="1320" customWidth="1"/>
    <col min="11553" max="11555" width="10.28515625" style="1320" customWidth="1"/>
    <col min="11556" max="11556" width="9.85546875" style="1320" customWidth="1"/>
    <col min="11557" max="11557" width="0.28515625" style="1320" customWidth="1"/>
    <col min="11558" max="11558" width="3.85546875" style="1320" customWidth="1"/>
    <col min="11559" max="11562" width="9.85546875" style="1320" customWidth="1"/>
    <col min="11563" max="11564" width="5.28515625" style="1320" customWidth="1"/>
    <col min="11565" max="11568" width="9.85546875" style="1320" customWidth="1"/>
    <col min="11569" max="11569" width="3.85546875" style="1320" customWidth="1"/>
    <col min="11570" max="11570" width="9.85546875" style="1320" customWidth="1"/>
    <col min="11571" max="11571" width="5.28515625" style="1320" customWidth="1"/>
    <col min="11572" max="11572" width="6" style="1320" customWidth="1"/>
    <col min="11573" max="11574" width="9.85546875" style="1320" customWidth="1"/>
    <col min="11575" max="11576" width="5.28515625" style="1320" customWidth="1"/>
    <col min="11577" max="11580" width="9.85546875" style="1320" customWidth="1"/>
    <col min="11581" max="11581" width="3.85546875" style="1320" customWidth="1"/>
    <col min="11582" max="11582" width="8.140625" style="1320" customWidth="1"/>
    <col min="11583" max="11583" width="8.7109375" style="1320" customWidth="1"/>
    <col min="11584" max="11584" width="12.85546875" style="1320" customWidth="1"/>
    <col min="11585" max="11585" width="12.42578125" style="1320" customWidth="1"/>
    <col min="11586" max="11587" width="5.28515625" style="1320" customWidth="1"/>
    <col min="11588" max="11589" width="9.85546875" style="1320" customWidth="1"/>
    <col min="11590" max="11591" width="4.7109375" style="1320" customWidth="1"/>
    <col min="11592" max="11592" width="9.28515625" style="1320" customWidth="1"/>
    <col min="11593" max="11593" width="3.85546875" style="1320" customWidth="1"/>
    <col min="11594" max="11597" width="9.85546875" style="1320" customWidth="1"/>
    <col min="11598" max="11599" width="5.28515625" style="1320" customWidth="1"/>
    <col min="11600" max="11602" width="9.85546875" style="1320" customWidth="1"/>
    <col min="11603" max="11603" width="9.140625" style="1320" customWidth="1"/>
    <col min="11604" max="11604" width="8.140625" style="1320" customWidth="1"/>
    <col min="11605" max="11605" width="9.5703125" style="1320" customWidth="1"/>
    <col min="11606" max="11606" width="13.140625" style="1320" customWidth="1"/>
    <col min="11607" max="11607" width="11.7109375" style="1320" customWidth="1"/>
    <col min="11608" max="11609" width="2.42578125" style="1320" customWidth="1"/>
    <col min="11610" max="11610" width="11.5703125" style="1320" customWidth="1"/>
    <col min="11611" max="11611" width="12.7109375" style="1320" customWidth="1"/>
    <col min="11612" max="11612" width="8.28515625" style="1320" customWidth="1"/>
    <col min="11613" max="11613" width="10.5703125" style="1320" customWidth="1"/>
    <col min="11614" max="11614" width="3.85546875" style="1320" customWidth="1"/>
    <col min="11615" max="11615" width="8.140625" style="1320" customWidth="1"/>
    <col min="11616" max="11616" width="9.5703125" style="1320" customWidth="1"/>
    <col min="11617" max="11617" width="13.140625" style="1320" customWidth="1"/>
    <col min="11618" max="11802" width="11.42578125" style="1320"/>
    <col min="11803" max="11803" width="2.85546875" style="1320" customWidth="1"/>
    <col min="11804" max="11804" width="10.85546875" style="1320" customWidth="1"/>
    <col min="11805" max="11805" width="10.28515625" style="1320" customWidth="1"/>
    <col min="11806" max="11806" width="10.5703125" style="1320" customWidth="1"/>
    <col min="11807" max="11807" width="11.85546875" style="1320" customWidth="1"/>
    <col min="11808" max="11808" width="7.5703125" style="1320" customWidth="1"/>
    <col min="11809" max="11811" width="10.28515625" style="1320" customWidth="1"/>
    <col min="11812" max="11812" width="9.85546875" style="1320" customWidth="1"/>
    <col min="11813" max="11813" width="0.28515625" style="1320" customWidth="1"/>
    <col min="11814" max="11814" width="3.85546875" style="1320" customWidth="1"/>
    <col min="11815" max="11818" width="9.85546875" style="1320" customWidth="1"/>
    <col min="11819" max="11820" width="5.28515625" style="1320" customWidth="1"/>
    <col min="11821" max="11824" width="9.85546875" style="1320" customWidth="1"/>
    <col min="11825" max="11825" width="3.85546875" style="1320" customWidth="1"/>
    <col min="11826" max="11826" width="9.85546875" style="1320" customWidth="1"/>
    <col min="11827" max="11827" width="5.28515625" style="1320" customWidth="1"/>
    <col min="11828" max="11828" width="6" style="1320" customWidth="1"/>
    <col min="11829" max="11830" width="9.85546875" style="1320" customWidth="1"/>
    <col min="11831" max="11832" width="5.28515625" style="1320" customWidth="1"/>
    <col min="11833" max="11836" width="9.85546875" style="1320" customWidth="1"/>
    <col min="11837" max="11837" width="3.85546875" style="1320" customWidth="1"/>
    <col min="11838" max="11838" width="8.140625" style="1320" customWidth="1"/>
    <col min="11839" max="11839" width="8.7109375" style="1320" customWidth="1"/>
    <col min="11840" max="11840" width="12.85546875" style="1320" customWidth="1"/>
    <col min="11841" max="11841" width="12.42578125" style="1320" customWidth="1"/>
    <col min="11842" max="11843" width="5.28515625" style="1320" customWidth="1"/>
    <col min="11844" max="11845" width="9.85546875" style="1320" customWidth="1"/>
    <col min="11846" max="11847" width="4.7109375" style="1320" customWidth="1"/>
    <col min="11848" max="11848" width="9.28515625" style="1320" customWidth="1"/>
    <col min="11849" max="11849" width="3.85546875" style="1320" customWidth="1"/>
    <col min="11850" max="11853" width="9.85546875" style="1320" customWidth="1"/>
    <col min="11854" max="11855" width="5.28515625" style="1320" customWidth="1"/>
    <col min="11856" max="11858" width="9.85546875" style="1320" customWidth="1"/>
    <col min="11859" max="11859" width="9.140625" style="1320" customWidth="1"/>
    <col min="11860" max="11860" width="8.140625" style="1320" customWidth="1"/>
    <col min="11861" max="11861" width="9.5703125" style="1320" customWidth="1"/>
    <col min="11862" max="11862" width="13.140625" style="1320" customWidth="1"/>
    <col min="11863" max="11863" width="11.7109375" style="1320" customWidth="1"/>
    <col min="11864" max="11865" width="2.42578125" style="1320" customWidth="1"/>
    <col min="11866" max="11866" width="11.5703125" style="1320" customWidth="1"/>
    <col min="11867" max="11867" width="12.7109375" style="1320" customWidth="1"/>
    <col min="11868" max="11868" width="8.28515625" style="1320" customWidth="1"/>
    <col min="11869" max="11869" width="10.5703125" style="1320" customWidth="1"/>
    <col min="11870" max="11870" width="3.85546875" style="1320" customWidth="1"/>
    <col min="11871" max="11871" width="8.140625" style="1320" customWidth="1"/>
    <col min="11872" max="11872" width="9.5703125" style="1320" customWidth="1"/>
    <col min="11873" max="11873" width="13.140625" style="1320" customWidth="1"/>
    <col min="11874" max="12058" width="11.42578125" style="1320"/>
    <col min="12059" max="12059" width="2.85546875" style="1320" customWidth="1"/>
    <col min="12060" max="12060" width="10.85546875" style="1320" customWidth="1"/>
    <col min="12061" max="12061" width="10.28515625" style="1320" customWidth="1"/>
    <col min="12062" max="12062" width="10.5703125" style="1320" customWidth="1"/>
    <col min="12063" max="12063" width="11.85546875" style="1320" customWidth="1"/>
    <col min="12064" max="12064" width="7.5703125" style="1320" customWidth="1"/>
    <col min="12065" max="12067" width="10.28515625" style="1320" customWidth="1"/>
    <col min="12068" max="12068" width="9.85546875" style="1320" customWidth="1"/>
    <col min="12069" max="12069" width="0.28515625" style="1320" customWidth="1"/>
    <col min="12070" max="12070" width="3.85546875" style="1320" customWidth="1"/>
    <col min="12071" max="12074" width="9.85546875" style="1320" customWidth="1"/>
    <col min="12075" max="12076" width="5.28515625" style="1320" customWidth="1"/>
    <col min="12077" max="12080" width="9.85546875" style="1320" customWidth="1"/>
    <col min="12081" max="12081" width="3.85546875" style="1320" customWidth="1"/>
    <col min="12082" max="12082" width="9.85546875" style="1320" customWidth="1"/>
    <col min="12083" max="12083" width="5.28515625" style="1320" customWidth="1"/>
    <col min="12084" max="12084" width="6" style="1320" customWidth="1"/>
    <col min="12085" max="12086" width="9.85546875" style="1320" customWidth="1"/>
    <col min="12087" max="12088" width="5.28515625" style="1320" customWidth="1"/>
    <col min="12089" max="12092" width="9.85546875" style="1320" customWidth="1"/>
    <col min="12093" max="12093" width="3.85546875" style="1320" customWidth="1"/>
    <col min="12094" max="12094" width="8.140625" style="1320" customWidth="1"/>
    <col min="12095" max="12095" width="8.7109375" style="1320" customWidth="1"/>
    <col min="12096" max="12096" width="12.85546875" style="1320" customWidth="1"/>
    <col min="12097" max="12097" width="12.42578125" style="1320" customWidth="1"/>
    <col min="12098" max="12099" width="5.28515625" style="1320" customWidth="1"/>
    <col min="12100" max="12101" width="9.85546875" style="1320" customWidth="1"/>
    <col min="12102" max="12103" width="4.7109375" style="1320" customWidth="1"/>
    <col min="12104" max="12104" width="9.28515625" style="1320" customWidth="1"/>
    <col min="12105" max="12105" width="3.85546875" style="1320" customWidth="1"/>
    <col min="12106" max="12109" width="9.85546875" style="1320" customWidth="1"/>
    <col min="12110" max="12111" width="5.28515625" style="1320" customWidth="1"/>
    <col min="12112" max="12114" width="9.85546875" style="1320" customWidth="1"/>
    <col min="12115" max="12115" width="9.140625" style="1320" customWidth="1"/>
    <col min="12116" max="12116" width="8.140625" style="1320" customWidth="1"/>
    <col min="12117" max="12117" width="9.5703125" style="1320" customWidth="1"/>
    <col min="12118" max="12118" width="13.140625" style="1320" customWidth="1"/>
    <col min="12119" max="12119" width="11.7109375" style="1320" customWidth="1"/>
    <col min="12120" max="12121" width="2.42578125" style="1320" customWidth="1"/>
    <col min="12122" max="12122" width="11.5703125" style="1320" customWidth="1"/>
    <col min="12123" max="12123" width="12.7109375" style="1320" customWidth="1"/>
    <col min="12124" max="12124" width="8.28515625" style="1320" customWidth="1"/>
    <col min="12125" max="12125" width="10.5703125" style="1320" customWidth="1"/>
    <col min="12126" max="12126" width="3.85546875" style="1320" customWidth="1"/>
    <col min="12127" max="12127" width="8.140625" style="1320" customWidth="1"/>
    <col min="12128" max="12128" width="9.5703125" style="1320" customWidth="1"/>
    <col min="12129" max="12129" width="13.140625" style="1320" customWidth="1"/>
    <col min="12130" max="12314" width="11.42578125" style="1320"/>
    <col min="12315" max="12315" width="2.85546875" style="1320" customWidth="1"/>
    <col min="12316" max="12316" width="10.85546875" style="1320" customWidth="1"/>
    <col min="12317" max="12317" width="10.28515625" style="1320" customWidth="1"/>
    <col min="12318" max="12318" width="10.5703125" style="1320" customWidth="1"/>
    <col min="12319" max="12319" width="11.85546875" style="1320" customWidth="1"/>
    <col min="12320" max="12320" width="7.5703125" style="1320" customWidth="1"/>
    <col min="12321" max="12323" width="10.28515625" style="1320" customWidth="1"/>
    <col min="12324" max="12324" width="9.85546875" style="1320" customWidth="1"/>
    <col min="12325" max="12325" width="0.28515625" style="1320" customWidth="1"/>
    <col min="12326" max="12326" width="3.85546875" style="1320" customWidth="1"/>
    <col min="12327" max="12330" width="9.85546875" style="1320" customWidth="1"/>
    <col min="12331" max="12332" width="5.28515625" style="1320" customWidth="1"/>
    <col min="12333" max="12336" width="9.85546875" style="1320" customWidth="1"/>
    <col min="12337" max="12337" width="3.85546875" style="1320" customWidth="1"/>
    <col min="12338" max="12338" width="9.85546875" style="1320" customWidth="1"/>
    <col min="12339" max="12339" width="5.28515625" style="1320" customWidth="1"/>
    <col min="12340" max="12340" width="6" style="1320" customWidth="1"/>
    <col min="12341" max="12342" width="9.85546875" style="1320" customWidth="1"/>
    <col min="12343" max="12344" width="5.28515625" style="1320" customWidth="1"/>
    <col min="12345" max="12348" width="9.85546875" style="1320" customWidth="1"/>
    <col min="12349" max="12349" width="3.85546875" style="1320" customWidth="1"/>
    <col min="12350" max="12350" width="8.140625" style="1320" customWidth="1"/>
    <col min="12351" max="12351" width="8.7109375" style="1320" customWidth="1"/>
    <col min="12352" max="12352" width="12.85546875" style="1320" customWidth="1"/>
    <col min="12353" max="12353" width="12.42578125" style="1320" customWidth="1"/>
    <col min="12354" max="12355" width="5.28515625" style="1320" customWidth="1"/>
    <col min="12356" max="12357" width="9.85546875" style="1320" customWidth="1"/>
    <col min="12358" max="12359" width="4.7109375" style="1320" customWidth="1"/>
    <col min="12360" max="12360" width="9.28515625" style="1320" customWidth="1"/>
    <col min="12361" max="12361" width="3.85546875" style="1320" customWidth="1"/>
    <col min="12362" max="12365" width="9.85546875" style="1320" customWidth="1"/>
    <col min="12366" max="12367" width="5.28515625" style="1320" customWidth="1"/>
    <col min="12368" max="12370" width="9.85546875" style="1320" customWidth="1"/>
    <col min="12371" max="12371" width="9.140625" style="1320" customWidth="1"/>
    <col min="12372" max="12372" width="8.140625" style="1320" customWidth="1"/>
    <col min="12373" max="12373" width="9.5703125" style="1320" customWidth="1"/>
    <col min="12374" max="12374" width="13.140625" style="1320" customWidth="1"/>
    <col min="12375" max="12375" width="11.7109375" style="1320" customWidth="1"/>
    <col min="12376" max="12377" width="2.42578125" style="1320" customWidth="1"/>
    <col min="12378" max="12378" width="11.5703125" style="1320" customWidth="1"/>
    <col min="12379" max="12379" width="12.7109375" style="1320" customWidth="1"/>
    <col min="12380" max="12380" width="8.28515625" style="1320" customWidth="1"/>
    <col min="12381" max="12381" width="10.5703125" style="1320" customWidth="1"/>
    <col min="12382" max="12382" width="3.85546875" style="1320" customWidth="1"/>
    <col min="12383" max="12383" width="8.140625" style="1320" customWidth="1"/>
    <col min="12384" max="12384" width="9.5703125" style="1320" customWidth="1"/>
    <col min="12385" max="12385" width="13.140625" style="1320" customWidth="1"/>
    <col min="12386" max="12570" width="11.42578125" style="1320"/>
    <col min="12571" max="12571" width="2.85546875" style="1320" customWidth="1"/>
    <col min="12572" max="12572" width="10.85546875" style="1320" customWidth="1"/>
    <col min="12573" max="12573" width="10.28515625" style="1320" customWidth="1"/>
    <col min="12574" max="12574" width="10.5703125" style="1320" customWidth="1"/>
    <col min="12575" max="12575" width="11.85546875" style="1320" customWidth="1"/>
    <col min="12576" max="12576" width="7.5703125" style="1320" customWidth="1"/>
    <col min="12577" max="12579" width="10.28515625" style="1320" customWidth="1"/>
    <col min="12580" max="12580" width="9.85546875" style="1320" customWidth="1"/>
    <col min="12581" max="12581" width="0.28515625" style="1320" customWidth="1"/>
    <col min="12582" max="12582" width="3.85546875" style="1320" customWidth="1"/>
    <col min="12583" max="12586" width="9.85546875" style="1320" customWidth="1"/>
    <col min="12587" max="12588" width="5.28515625" style="1320" customWidth="1"/>
    <col min="12589" max="12592" width="9.85546875" style="1320" customWidth="1"/>
    <col min="12593" max="12593" width="3.85546875" style="1320" customWidth="1"/>
    <col min="12594" max="12594" width="9.85546875" style="1320" customWidth="1"/>
    <col min="12595" max="12595" width="5.28515625" style="1320" customWidth="1"/>
    <col min="12596" max="12596" width="6" style="1320" customWidth="1"/>
    <col min="12597" max="12598" width="9.85546875" style="1320" customWidth="1"/>
    <col min="12599" max="12600" width="5.28515625" style="1320" customWidth="1"/>
    <col min="12601" max="12604" width="9.85546875" style="1320" customWidth="1"/>
    <col min="12605" max="12605" width="3.85546875" style="1320" customWidth="1"/>
    <col min="12606" max="12606" width="8.140625" style="1320" customWidth="1"/>
    <col min="12607" max="12607" width="8.7109375" style="1320" customWidth="1"/>
    <col min="12608" max="12608" width="12.85546875" style="1320" customWidth="1"/>
    <col min="12609" max="12609" width="12.42578125" style="1320" customWidth="1"/>
    <col min="12610" max="12611" width="5.28515625" style="1320" customWidth="1"/>
    <col min="12612" max="12613" width="9.85546875" style="1320" customWidth="1"/>
    <col min="12614" max="12615" width="4.7109375" style="1320" customWidth="1"/>
    <col min="12616" max="12616" width="9.28515625" style="1320" customWidth="1"/>
    <col min="12617" max="12617" width="3.85546875" style="1320" customWidth="1"/>
    <col min="12618" max="12621" width="9.85546875" style="1320" customWidth="1"/>
    <col min="12622" max="12623" width="5.28515625" style="1320" customWidth="1"/>
    <col min="12624" max="12626" width="9.85546875" style="1320" customWidth="1"/>
    <col min="12627" max="12627" width="9.140625" style="1320" customWidth="1"/>
    <col min="12628" max="12628" width="8.140625" style="1320" customWidth="1"/>
    <col min="12629" max="12629" width="9.5703125" style="1320" customWidth="1"/>
    <col min="12630" max="12630" width="13.140625" style="1320" customWidth="1"/>
    <col min="12631" max="12631" width="11.7109375" style="1320" customWidth="1"/>
    <col min="12632" max="12633" width="2.42578125" style="1320" customWidth="1"/>
    <col min="12634" max="12634" width="11.5703125" style="1320" customWidth="1"/>
    <col min="12635" max="12635" width="12.7109375" style="1320" customWidth="1"/>
    <col min="12636" max="12636" width="8.28515625" style="1320" customWidth="1"/>
    <col min="12637" max="12637" width="10.5703125" style="1320" customWidth="1"/>
    <col min="12638" max="12638" width="3.85546875" style="1320" customWidth="1"/>
    <col min="12639" max="12639" width="8.140625" style="1320" customWidth="1"/>
    <col min="12640" max="12640" width="9.5703125" style="1320" customWidth="1"/>
    <col min="12641" max="12641" width="13.140625" style="1320" customWidth="1"/>
    <col min="12642" max="12826" width="11.42578125" style="1320"/>
    <col min="12827" max="12827" width="2.85546875" style="1320" customWidth="1"/>
    <col min="12828" max="12828" width="10.85546875" style="1320" customWidth="1"/>
    <col min="12829" max="12829" width="10.28515625" style="1320" customWidth="1"/>
    <col min="12830" max="12830" width="10.5703125" style="1320" customWidth="1"/>
    <col min="12831" max="12831" width="11.85546875" style="1320" customWidth="1"/>
    <col min="12832" max="12832" width="7.5703125" style="1320" customWidth="1"/>
    <col min="12833" max="12835" width="10.28515625" style="1320" customWidth="1"/>
    <col min="12836" max="12836" width="9.85546875" style="1320" customWidth="1"/>
    <col min="12837" max="12837" width="0.28515625" style="1320" customWidth="1"/>
    <col min="12838" max="12838" width="3.85546875" style="1320" customWidth="1"/>
    <col min="12839" max="12842" width="9.85546875" style="1320" customWidth="1"/>
    <col min="12843" max="12844" width="5.28515625" style="1320" customWidth="1"/>
    <col min="12845" max="12848" width="9.85546875" style="1320" customWidth="1"/>
    <col min="12849" max="12849" width="3.85546875" style="1320" customWidth="1"/>
    <col min="12850" max="12850" width="9.85546875" style="1320" customWidth="1"/>
    <col min="12851" max="12851" width="5.28515625" style="1320" customWidth="1"/>
    <col min="12852" max="12852" width="6" style="1320" customWidth="1"/>
    <col min="12853" max="12854" width="9.85546875" style="1320" customWidth="1"/>
    <col min="12855" max="12856" width="5.28515625" style="1320" customWidth="1"/>
    <col min="12857" max="12860" width="9.85546875" style="1320" customWidth="1"/>
    <col min="12861" max="12861" width="3.85546875" style="1320" customWidth="1"/>
    <col min="12862" max="12862" width="8.140625" style="1320" customWidth="1"/>
    <col min="12863" max="12863" width="8.7109375" style="1320" customWidth="1"/>
    <col min="12864" max="12864" width="12.85546875" style="1320" customWidth="1"/>
    <col min="12865" max="12865" width="12.42578125" style="1320" customWidth="1"/>
    <col min="12866" max="12867" width="5.28515625" style="1320" customWidth="1"/>
    <col min="12868" max="12869" width="9.85546875" style="1320" customWidth="1"/>
    <col min="12870" max="12871" width="4.7109375" style="1320" customWidth="1"/>
    <col min="12872" max="12872" width="9.28515625" style="1320" customWidth="1"/>
    <col min="12873" max="12873" width="3.85546875" style="1320" customWidth="1"/>
    <col min="12874" max="12877" width="9.85546875" style="1320" customWidth="1"/>
    <col min="12878" max="12879" width="5.28515625" style="1320" customWidth="1"/>
    <col min="12880" max="12882" width="9.85546875" style="1320" customWidth="1"/>
    <col min="12883" max="12883" width="9.140625" style="1320" customWidth="1"/>
    <col min="12884" max="12884" width="8.140625" style="1320" customWidth="1"/>
    <col min="12885" max="12885" width="9.5703125" style="1320" customWidth="1"/>
    <col min="12886" max="12886" width="13.140625" style="1320" customWidth="1"/>
    <col min="12887" max="12887" width="11.7109375" style="1320" customWidth="1"/>
    <col min="12888" max="12889" width="2.42578125" style="1320" customWidth="1"/>
    <col min="12890" max="12890" width="11.5703125" style="1320" customWidth="1"/>
    <col min="12891" max="12891" width="12.7109375" style="1320" customWidth="1"/>
    <col min="12892" max="12892" width="8.28515625" style="1320" customWidth="1"/>
    <col min="12893" max="12893" width="10.5703125" style="1320" customWidth="1"/>
    <col min="12894" max="12894" width="3.85546875" style="1320" customWidth="1"/>
    <col min="12895" max="12895" width="8.140625" style="1320" customWidth="1"/>
    <col min="12896" max="12896" width="9.5703125" style="1320" customWidth="1"/>
    <col min="12897" max="12897" width="13.140625" style="1320" customWidth="1"/>
    <col min="12898" max="13082" width="11.42578125" style="1320"/>
    <col min="13083" max="13083" width="2.85546875" style="1320" customWidth="1"/>
    <col min="13084" max="13084" width="10.85546875" style="1320" customWidth="1"/>
    <col min="13085" max="13085" width="10.28515625" style="1320" customWidth="1"/>
    <col min="13086" max="13086" width="10.5703125" style="1320" customWidth="1"/>
    <col min="13087" max="13087" width="11.85546875" style="1320" customWidth="1"/>
    <col min="13088" max="13088" width="7.5703125" style="1320" customWidth="1"/>
    <col min="13089" max="13091" width="10.28515625" style="1320" customWidth="1"/>
    <col min="13092" max="13092" width="9.85546875" style="1320" customWidth="1"/>
    <col min="13093" max="13093" width="0.28515625" style="1320" customWidth="1"/>
    <col min="13094" max="13094" width="3.85546875" style="1320" customWidth="1"/>
    <col min="13095" max="13098" width="9.85546875" style="1320" customWidth="1"/>
    <col min="13099" max="13100" width="5.28515625" style="1320" customWidth="1"/>
    <col min="13101" max="13104" width="9.85546875" style="1320" customWidth="1"/>
    <col min="13105" max="13105" width="3.85546875" style="1320" customWidth="1"/>
    <col min="13106" max="13106" width="9.85546875" style="1320" customWidth="1"/>
    <col min="13107" max="13107" width="5.28515625" style="1320" customWidth="1"/>
    <col min="13108" max="13108" width="6" style="1320" customWidth="1"/>
    <col min="13109" max="13110" width="9.85546875" style="1320" customWidth="1"/>
    <col min="13111" max="13112" width="5.28515625" style="1320" customWidth="1"/>
    <col min="13113" max="13116" width="9.85546875" style="1320" customWidth="1"/>
    <col min="13117" max="13117" width="3.85546875" style="1320" customWidth="1"/>
    <col min="13118" max="13118" width="8.140625" style="1320" customWidth="1"/>
    <col min="13119" max="13119" width="8.7109375" style="1320" customWidth="1"/>
    <col min="13120" max="13120" width="12.85546875" style="1320" customWidth="1"/>
    <col min="13121" max="13121" width="12.42578125" style="1320" customWidth="1"/>
    <col min="13122" max="13123" width="5.28515625" style="1320" customWidth="1"/>
    <col min="13124" max="13125" width="9.85546875" style="1320" customWidth="1"/>
    <col min="13126" max="13127" width="4.7109375" style="1320" customWidth="1"/>
    <col min="13128" max="13128" width="9.28515625" style="1320" customWidth="1"/>
    <col min="13129" max="13129" width="3.85546875" style="1320" customWidth="1"/>
    <col min="13130" max="13133" width="9.85546875" style="1320" customWidth="1"/>
    <col min="13134" max="13135" width="5.28515625" style="1320" customWidth="1"/>
    <col min="13136" max="13138" width="9.85546875" style="1320" customWidth="1"/>
    <col min="13139" max="13139" width="9.140625" style="1320" customWidth="1"/>
    <col min="13140" max="13140" width="8.140625" style="1320" customWidth="1"/>
    <col min="13141" max="13141" width="9.5703125" style="1320" customWidth="1"/>
    <col min="13142" max="13142" width="13.140625" style="1320" customWidth="1"/>
    <col min="13143" max="13143" width="11.7109375" style="1320" customWidth="1"/>
    <col min="13144" max="13145" width="2.42578125" style="1320" customWidth="1"/>
    <col min="13146" max="13146" width="11.5703125" style="1320" customWidth="1"/>
    <col min="13147" max="13147" width="12.7109375" style="1320" customWidth="1"/>
    <col min="13148" max="13148" width="8.28515625" style="1320" customWidth="1"/>
    <col min="13149" max="13149" width="10.5703125" style="1320" customWidth="1"/>
    <col min="13150" max="13150" width="3.85546875" style="1320" customWidth="1"/>
    <col min="13151" max="13151" width="8.140625" style="1320" customWidth="1"/>
    <col min="13152" max="13152" width="9.5703125" style="1320" customWidth="1"/>
    <col min="13153" max="13153" width="13.140625" style="1320" customWidth="1"/>
    <col min="13154" max="13338" width="11.42578125" style="1320"/>
    <col min="13339" max="13339" width="2.85546875" style="1320" customWidth="1"/>
    <col min="13340" max="13340" width="10.85546875" style="1320" customWidth="1"/>
    <col min="13341" max="13341" width="10.28515625" style="1320" customWidth="1"/>
    <col min="13342" max="13342" width="10.5703125" style="1320" customWidth="1"/>
    <col min="13343" max="13343" width="11.85546875" style="1320" customWidth="1"/>
    <col min="13344" max="13344" width="7.5703125" style="1320" customWidth="1"/>
    <col min="13345" max="13347" width="10.28515625" style="1320" customWidth="1"/>
    <col min="13348" max="13348" width="9.85546875" style="1320" customWidth="1"/>
    <col min="13349" max="13349" width="0.28515625" style="1320" customWidth="1"/>
    <col min="13350" max="13350" width="3.85546875" style="1320" customWidth="1"/>
    <col min="13351" max="13354" width="9.85546875" style="1320" customWidth="1"/>
    <col min="13355" max="13356" width="5.28515625" style="1320" customWidth="1"/>
    <col min="13357" max="13360" width="9.85546875" style="1320" customWidth="1"/>
    <col min="13361" max="13361" width="3.85546875" style="1320" customWidth="1"/>
    <col min="13362" max="13362" width="9.85546875" style="1320" customWidth="1"/>
    <col min="13363" max="13363" width="5.28515625" style="1320" customWidth="1"/>
    <col min="13364" max="13364" width="6" style="1320" customWidth="1"/>
    <col min="13365" max="13366" width="9.85546875" style="1320" customWidth="1"/>
    <col min="13367" max="13368" width="5.28515625" style="1320" customWidth="1"/>
    <col min="13369" max="13372" width="9.85546875" style="1320" customWidth="1"/>
    <col min="13373" max="13373" width="3.85546875" style="1320" customWidth="1"/>
    <col min="13374" max="13374" width="8.140625" style="1320" customWidth="1"/>
    <col min="13375" max="13375" width="8.7109375" style="1320" customWidth="1"/>
    <col min="13376" max="13376" width="12.85546875" style="1320" customWidth="1"/>
    <col min="13377" max="13377" width="12.42578125" style="1320" customWidth="1"/>
    <col min="13378" max="13379" width="5.28515625" style="1320" customWidth="1"/>
    <col min="13380" max="13381" width="9.85546875" style="1320" customWidth="1"/>
    <col min="13382" max="13383" width="4.7109375" style="1320" customWidth="1"/>
    <col min="13384" max="13384" width="9.28515625" style="1320" customWidth="1"/>
    <col min="13385" max="13385" width="3.85546875" style="1320" customWidth="1"/>
    <col min="13386" max="13389" width="9.85546875" style="1320" customWidth="1"/>
    <col min="13390" max="13391" width="5.28515625" style="1320" customWidth="1"/>
    <col min="13392" max="13394" width="9.85546875" style="1320" customWidth="1"/>
    <col min="13395" max="13395" width="9.140625" style="1320" customWidth="1"/>
    <col min="13396" max="13396" width="8.140625" style="1320" customWidth="1"/>
    <col min="13397" max="13397" width="9.5703125" style="1320" customWidth="1"/>
    <col min="13398" max="13398" width="13.140625" style="1320" customWidth="1"/>
    <col min="13399" max="13399" width="11.7109375" style="1320" customWidth="1"/>
    <col min="13400" max="13401" width="2.42578125" style="1320" customWidth="1"/>
    <col min="13402" max="13402" width="11.5703125" style="1320" customWidth="1"/>
    <col min="13403" max="13403" width="12.7109375" style="1320" customWidth="1"/>
    <col min="13404" max="13404" width="8.28515625" style="1320" customWidth="1"/>
    <col min="13405" max="13405" width="10.5703125" style="1320" customWidth="1"/>
    <col min="13406" max="13406" width="3.85546875" style="1320" customWidth="1"/>
    <col min="13407" max="13407" width="8.140625" style="1320" customWidth="1"/>
    <col min="13408" max="13408" width="9.5703125" style="1320" customWidth="1"/>
    <col min="13409" max="13409" width="13.140625" style="1320" customWidth="1"/>
    <col min="13410" max="13594" width="11.42578125" style="1320"/>
    <col min="13595" max="13595" width="2.85546875" style="1320" customWidth="1"/>
    <col min="13596" max="13596" width="10.85546875" style="1320" customWidth="1"/>
    <col min="13597" max="13597" width="10.28515625" style="1320" customWidth="1"/>
    <col min="13598" max="13598" width="10.5703125" style="1320" customWidth="1"/>
    <col min="13599" max="13599" width="11.85546875" style="1320" customWidth="1"/>
    <col min="13600" max="13600" width="7.5703125" style="1320" customWidth="1"/>
    <col min="13601" max="13603" width="10.28515625" style="1320" customWidth="1"/>
    <col min="13604" max="13604" width="9.85546875" style="1320" customWidth="1"/>
    <col min="13605" max="13605" width="0.28515625" style="1320" customWidth="1"/>
    <col min="13606" max="13606" width="3.85546875" style="1320" customWidth="1"/>
    <col min="13607" max="13610" width="9.85546875" style="1320" customWidth="1"/>
    <col min="13611" max="13612" width="5.28515625" style="1320" customWidth="1"/>
    <col min="13613" max="13616" width="9.85546875" style="1320" customWidth="1"/>
    <col min="13617" max="13617" width="3.85546875" style="1320" customWidth="1"/>
    <col min="13618" max="13618" width="9.85546875" style="1320" customWidth="1"/>
    <col min="13619" max="13619" width="5.28515625" style="1320" customWidth="1"/>
    <col min="13620" max="13620" width="6" style="1320" customWidth="1"/>
    <col min="13621" max="13622" width="9.85546875" style="1320" customWidth="1"/>
    <col min="13623" max="13624" width="5.28515625" style="1320" customWidth="1"/>
    <col min="13625" max="13628" width="9.85546875" style="1320" customWidth="1"/>
    <col min="13629" max="13629" width="3.85546875" style="1320" customWidth="1"/>
    <col min="13630" max="13630" width="8.140625" style="1320" customWidth="1"/>
    <col min="13631" max="13631" width="8.7109375" style="1320" customWidth="1"/>
    <col min="13632" max="13632" width="12.85546875" style="1320" customWidth="1"/>
    <col min="13633" max="13633" width="12.42578125" style="1320" customWidth="1"/>
    <col min="13634" max="13635" width="5.28515625" style="1320" customWidth="1"/>
    <col min="13636" max="13637" width="9.85546875" style="1320" customWidth="1"/>
    <col min="13638" max="13639" width="4.7109375" style="1320" customWidth="1"/>
    <col min="13640" max="13640" width="9.28515625" style="1320" customWidth="1"/>
    <col min="13641" max="13641" width="3.85546875" style="1320" customWidth="1"/>
    <col min="13642" max="13645" width="9.85546875" style="1320" customWidth="1"/>
    <col min="13646" max="13647" width="5.28515625" style="1320" customWidth="1"/>
    <col min="13648" max="13650" width="9.85546875" style="1320" customWidth="1"/>
    <col min="13651" max="13651" width="9.140625" style="1320" customWidth="1"/>
    <col min="13652" max="13652" width="8.140625" style="1320" customWidth="1"/>
    <col min="13653" max="13653" width="9.5703125" style="1320" customWidth="1"/>
    <col min="13654" max="13654" width="13.140625" style="1320" customWidth="1"/>
    <col min="13655" max="13655" width="11.7109375" style="1320" customWidth="1"/>
    <col min="13656" max="13657" width="2.42578125" style="1320" customWidth="1"/>
    <col min="13658" max="13658" width="11.5703125" style="1320" customWidth="1"/>
    <col min="13659" max="13659" width="12.7109375" style="1320" customWidth="1"/>
    <col min="13660" max="13660" width="8.28515625" style="1320" customWidth="1"/>
    <col min="13661" max="13661" width="10.5703125" style="1320" customWidth="1"/>
    <col min="13662" max="13662" width="3.85546875" style="1320" customWidth="1"/>
    <col min="13663" max="13663" width="8.140625" style="1320" customWidth="1"/>
    <col min="13664" max="13664" width="9.5703125" style="1320" customWidth="1"/>
    <col min="13665" max="13665" width="13.140625" style="1320" customWidth="1"/>
    <col min="13666" max="13850" width="11.42578125" style="1320"/>
    <col min="13851" max="13851" width="2.85546875" style="1320" customWidth="1"/>
    <col min="13852" max="13852" width="10.85546875" style="1320" customWidth="1"/>
    <col min="13853" max="13853" width="10.28515625" style="1320" customWidth="1"/>
    <col min="13854" max="13854" width="10.5703125" style="1320" customWidth="1"/>
    <col min="13855" max="13855" width="11.85546875" style="1320" customWidth="1"/>
    <col min="13856" max="13856" width="7.5703125" style="1320" customWidth="1"/>
    <col min="13857" max="13859" width="10.28515625" style="1320" customWidth="1"/>
    <col min="13860" max="13860" width="9.85546875" style="1320" customWidth="1"/>
    <col min="13861" max="13861" width="0.28515625" style="1320" customWidth="1"/>
    <col min="13862" max="13862" width="3.85546875" style="1320" customWidth="1"/>
    <col min="13863" max="13866" width="9.85546875" style="1320" customWidth="1"/>
    <col min="13867" max="13868" width="5.28515625" style="1320" customWidth="1"/>
    <col min="13869" max="13872" width="9.85546875" style="1320" customWidth="1"/>
    <col min="13873" max="13873" width="3.85546875" style="1320" customWidth="1"/>
    <col min="13874" max="13874" width="9.85546875" style="1320" customWidth="1"/>
    <col min="13875" max="13875" width="5.28515625" style="1320" customWidth="1"/>
    <col min="13876" max="13876" width="6" style="1320" customWidth="1"/>
    <col min="13877" max="13878" width="9.85546875" style="1320" customWidth="1"/>
    <col min="13879" max="13880" width="5.28515625" style="1320" customWidth="1"/>
    <col min="13881" max="13884" width="9.85546875" style="1320" customWidth="1"/>
    <col min="13885" max="13885" width="3.85546875" style="1320" customWidth="1"/>
    <col min="13886" max="13886" width="8.140625" style="1320" customWidth="1"/>
    <col min="13887" max="13887" width="8.7109375" style="1320" customWidth="1"/>
    <col min="13888" max="13888" width="12.85546875" style="1320" customWidth="1"/>
    <col min="13889" max="13889" width="12.42578125" style="1320" customWidth="1"/>
    <col min="13890" max="13891" width="5.28515625" style="1320" customWidth="1"/>
    <col min="13892" max="13893" width="9.85546875" style="1320" customWidth="1"/>
    <col min="13894" max="13895" width="4.7109375" style="1320" customWidth="1"/>
    <col min="13896" max="13896" width="9.28515625" style="1320" customWidth="1"/>
    <col min="13897" max="13897" width="3.85546875" style="1320" customWidth="1"/>
    <col min="13898" max="13901" width="9.85546875" style="1320" customWidth="1"/>
    <col min="13902" max="13903" width="5.28515625" style="1320" customWidth="1"/>
    <col min="13904" max="13906" width="9.85546875" style="1320" customWidth="1"/>
    <col min="13907" max="13907" width="9.140625" style="1320" customWidth="1"/>
    <col min="13908" max="13908" width="8.140625" style="1320" customWidth="1"/>
    <col min="13909" max="13909" width="9.5703125" style="1320" customWidth="1"/>
    <col min="13910" max="13910" width="13.140625" style="1320" customWidth="1"/>
    <col min="13911" max="13911" width="11.7109375" style="1320" customWidth="1"/>
    <col min="13912" max="13913" width="2.42578125" style="1320" customWidth="1"/>
    <col min="13914" max="13914" width="11.5703125" style="1320" customWidth="1"/>
    <col min="13915" max="13915" width="12.7109375" style="1320" customWidth="1"/>
    <col min="13916" max="13916" width="8.28515625" style="1320" customWidth="1"/>
    <col min="13917" max="13917" width="10.5703125" style="1320" customWidth="1"/>
    <col min="13918" max="13918" width="3.85546875" style="1320" customWidth="1"/>
    <col min="13919" max="13919" width="8.140625" style="1320" customWidth="1"/>
    <col min="13920" max="13920" width="9.5703125" style="1320" customWidth="1"/>
    <col min="13921" max="13921" width="13.140625" style="1320" customWidth="1"/>
    <col min="13922" max="14106" width="11.42578125" style="1320"/>
    <col min="14107" max="14107" width="2.85546875" style="1320" customWidth="1"/>
    <col min="14108" max="14108" width="10.85546875" style="1320" customWidth="1"/>
    <col min="14109" max="14109" width="10.28515625" style="1320" customWidth="1"/>
    <col min="14110" max="14110" width="10.5703125" style="1320" customWidth="1"/>
    <col min="14111" max="14111" width="11.85546875" style="1320" customWidth="1"/>
    <col min="14112" max="14112" width="7.5703125" style="1320" customWidth="1"/>
    <col min="14113" max="14115" width="10.28515625" style="1320" customWidth="1"/>
    <col min="14116" max="14116" width="9.85546875" style="1320" customWidth="1"/>
    <col min="14117" max="14117" width="0.28515625" style="1320" customWidth="1"/>
    <col min="14118" max="14118" width="3.85546875" style="1320" customWidth="1"/>
    <col min="14119" max="14122" width="9.85546875" style="1320" customWidth="1"/>
    <col min="14123" max="14124" width="5.28515625" style="1320" customWidth="1"/>
    <col min="14125" max="14128" width="9.85546875" style="1320" customWidth="1"/>
    <col min="14129" max="14129" width="3.85546875" style="1320" customWidth="1"/>
    <col min="14130" max="14130" width="9.85546875" style="1320" customWidth="1"/>
    <col min="14131" max="14131" width="5.28515625" style="1320" customWidth="1"/>
    <col min="14132" max="14132" width="6" style="1320" customWidth="1"/>
    <col min="14133" max="14134" width="9.85546875" style="1320" customWidth="1"/>
    <col min="14135" max="14136" width="5.28515625" style="1320" customWidth="1"/>
    <col min="14137" max="14140" width="9.85546875" style="1320" customWidth="1"/>
    <col min="14141" max="14141" width="3.85546875" style="1320" customWidth="1"/>
    <col min="14142" max="14142" width="8.140625" style="1320" customWidth="1"/>
    <col min="14143" max="14143" width="8.7109375" style="1320" customWidth="1"/>
    <col min="14144" max="14144" width="12.85546875" style="1320" customWidth="1"/>
    <col min="14145" max="14145" width="12.42578125" style="1320" customWidth="1"/>
    <col min="14146" max="14147" width="5.28515625" style="1320" customWidth="1"/>
    <col min="14148" max="14149" width="9.85546875" style="1320" customWidth="1"/>
    <col min="14150" max="14151" width="4.7109375" style="1320" customWidth="1"/>
    <col min="14152" max="14152" width="9.28515625" style="1320" customWidth="1"/>
    <col min="14153" max="14153" width="3.85546875" style="1320" customWidth="1"/>
    <col min="14154" max="14157" width="9.85546875" style="1320" customWidth="1"/>
    <col min="14158" max="14159" width="5.28515625" style="1320" customWidth="1"/>
    <col min="14160" max="14162" width="9.85546875" style="1320" customWidth="1"/>
    <col min="14163" max="14163" width="9.140625" style="1320" customWidth="1"/>
    <col min="14164" max="14164" width="8.140625" style="1320" customWidth="1"/>
    <col min="14165" max="14165" width="9.5703125" style="1320" customWidth="1"/>
    <col min="14166" max="14166" width="13.140625" style="1320" customWidth="1"/>
    <col min="14167" max="14167" width="11.7109375" style="1320" customWidth="1"/>
    <col min="14168" max="14169" width="2.42578125" style="1320" customWidth="1"/>
    <col min="14170" max="14170" width="11.5703125" style="1320" customWidth="1"/>
    <col min="14171" max="14171" width="12.7109375" style="1320" customWidth="1"/>
    <col min="14172" max="14172" width="8.28515625" style="1320" customWidth="1"/>
    <col min="14173" max="14173" width="10.5703125" style="1320" customWidth="1"/>
    <col min="14174" max="14174" width="3.85546875" style="1320" customWidth="1"/>
    <col min="14175" max="14175" width="8.140625" style="1320" customWidth="1"/>
    <col min="14176" max="14176" width="9.5703125" style="1320" customWidth="1"/>
    <col min="14177" max="14177" width="13.140625" style="1320" customWidth="1"/>
    <col min="14178" max="14362" width="11.42578125" style="1320"/>
    <col min="14363" max="14363" width="2.85546875" style="1320" customWidth="1"/>
    <col min="14364" max="14364" width="10.85546875" style="1320" customWidth="1"/>
    <col min="14365" max="14365" width="10.28515625" style="1320" customWidth="1"/>
    <col min="14366" max="14366" width="10.5703125" style="1320" customWidth="1"/>
    <col min="14367" max="14367" width="11.85546875" style="1320" customWidth="1"/>
    <col min="14368" max="14368" width="7.5703125" style="1320" customWidth="1"/>
    <col min="14369" max="14371" width="10.28515625" style="1320" customWidth="1"/>
    <col min="14372" max="14372" width="9.85546875" style="1320" customWidth="1"/>
    <col min="14373" max="14373" width="0.28515625" style="1320" customWidth="1"/>
    <col min="14374" max="14374" width="3.85546875" style="1320" customWidth="1"/>
    <col min="14375" max="14378" width="9.85546875" style="1320" customWidth="1"/>
    <col min="14379" max="14380" width="5.28515625" style="1320" customWidth="1"/>
    <col min="14381" max="14384" width="9.85546875" style="1320" customWidth="1"/>
    <col min="14385" max="14385" width="3.85546875" style="1320" customWidth="1"/>
    <col min="14386" max="14386" width="9.85546875" style="1320" customWidth="1"/>
    <col min="14387" max="14387" width="5.28515625" style="1320" customWidth="1"/>
    <col min="14388" max="14388" width="6" style="1320" customWidth="1"/>
    <col min="14389" max="14390" width="9.85546875" style="1320" customWidth="1"/>
    <col min="14391" max="14392" width="5.28515625" style="1320" customWidth="1"/>
    <col min="14393" max="14396" width="9.85546875" style="1320" customWidth="1"/>
    <col min="14397" max="14397" width="3.85546875" style="1320" customWidth="1"/>
    <col min="14398" max="14398" width="8.140625" style="1320" customWidth="1"/>
    <col min="14399" max="14399" width="8.7109375" style="1320" customWidth="1"/>
    <col min="14400" max="14400" width="12.85546875" style="1320" customWidth="1"/>
    <col min="14401" max="14401" width="12.42578125" style="1320" customWidth="1"/>
    <col min="14402" max="14403" width="5.28515625" style="1320" customWidth="1"/>
    <col min="14404" max="14405" width="9.85546875" style="1320" customWidth="1"/>
    <col min="14406" max="14407" width="4.7109375" style="1320" customWidth="1"/>
    <col min="14408" max="14408" width="9.28515625" style="1320" customWidth="1"/>
    <col min="14409" max="14409" width="3.85546875" style="1320" customWidth="1"/>
    <col min="14410" max="14413" width="9.85546875" style="1320" customWidth="1"/>
    <col min="14414" max="14415" width="5.28515625" style="1320" customWidth="1"/>
    <col min="14416" max="14418" width="9.85546875" style="1320" customWidth="1"/>
    <col min="14419" max="14419" width="9.140625" style="1320" customWidth="1"/>
    <col min="14420" max="14420" width="8.140625" style="1320" customWidth="1"/>
    <col min="14421" max="14421" width="9.5703125" style="1320" customWidth="1"/>
    <col min="14422" max="14422" width="13.140625" style="1320" customWidth="1"/>
    <col min="14423" max="14423" width="11.7109375" style="1320" customWidth="1"/>
    <col min="14424" max="14425" width="2.42578125" style="1320" customWidth="1"/>
    <col min="14426" max="14426" width="11.5703125" style="1320" customWidth="1"/>
    <col min="14427" max="14427" width="12.7109375" style="1320" customWidth="1"/>
    <col min="14428" max="14428" width="8.28515625" style="1320" customWidth="1"/>
    <col min="14429" max="14429" width="10.5703125" style="1320" customWidth="1"/>
    <col min="14430" max="14430" width="3.85546875" style="1320" customWidth="1"/>
    <col min="14431" max="14431" width="8.140625" style="1320" customWidth="1"/>
    <col min="14432" max="14432" width="9.5703125" style="1320" customWidth="1"/>
    <col min="14433" max="14433" width="13.140625" style="1320" customWidth="1"/>
    <col min="14434" max="14618" width="11.42578125" style="1320"/>
    <col min="14619" max="14619" width="2.85546875" style="1320" customWidth="1"/>
    <col min="14620" max="14620" width="10.85546875" style="1320" customWidth="1"/>
    <col min="14621" max="14621" width="10.28515625" style="1320" customWidth="1"/>
    <col min="14622" max="14622" width="10.5703125" style="1320" customWidth="1"/>
    <col min="14623" max="14623" width="11.85546875" style="1320" customWidth="1"/>
    <col min="14624" max="14624" width="7.5703125" style="1320" customWidth="1"/>
    <col min="14625" max="14627" width="10.28515625" style="1320" customWidth="1"/>
    <col min="14628" max="14628" width="9.85546875" style="1320" customWidth="1"/>
    <col min="14629" max="14629" width="0.28515625" style="1320" customWidth="1"/>
    <col min="14630" max="14630" width="3.85546875" style="1320" customWidth="1"/>
    <col min="14631" max="14634" width="9.85546875" style="1320" customWidth="1"/>
    <col min="14635" max="14636" width="5.28515625" style="1320" customWidth="1"/>
    <col min="14637" max="14640" width="9.85546875" style="1320" customWidth="1"/>
    <col min="14641" max="14641" width="3.85546875" style="1320" customWidth="1"/>
    <col min="14642" max="14642" width="9.85546875" style="1320" customWidth="1"/>
    <col min="14643" max="14643" width="5.28515625" style="1320" customWidth="1"/>
    <col min="14644" max="14644" width="6" style="1320" customWidth="1"/>
    <col min="14645" max="14646" width="9.85546875" style="1320" customWidth="1"/>
    <col min="14647" max="14648" width="5.28515625" style="1320" customWidth="1"/>
    <col min="14649" max="14652" width="9.85546875" style="1320" customWidth="1"/>
    <col min="14653" max="14653" width="3.85546875" style="1320" customWidth="1"/>
    <col min="14654" max="14654" width="8.140625" style="1320" customWidth="1"/>
    <col min="14655" max="14655" width="8.7109375" style="1320" customWidth="1"/>
    <col min="14656" max="14656" width="12.85546875" style="1320" customWidth="1"/>
    <col min="14657" max="14657" width="12.42578125" style="1320" customWidth="1"/>
    <col min="14658" max="14659" width="5.28515625" style="1320" customWidth="1"/>
    <col min="14660" max="14661" width="9.85546875" style="1320" customWidth="1"/>
    <col min="14662" max="14663" width="4.7109375" style="1320" customWidth="1"/>
    <col min="14664" max="14664" width="9.28515625" style="1320" customWidth="1"/>
    <col min="14665" max="14665" width="3.85546875" style="1320" customWidth="1"/>
    <col min="14666" max="14669" width="9.85546875" style="1320" customWidth="1"/>
    <col min="14670" max="14671" width="5.28515625" style="1320" customWidth="1"/>
    <col min="14672" max="14674" width="9.85546875" style="1320" customWidth="1"/>
    <col min="14675" max="14675" width="9.140625" style="1320" customWidth="1"/>
    <col min="14676" max="14676" width="8.140625" style="1320" customWidth="1"/>
    <col min="14677" max="14677" width="9.5703125" style="1320" customWidth="1"/>
    <col min="14678" max="14678" width="13.140625" style="1320" customWidth="1"/>
    <col min="14679" max="14679" width="11.7109375" style="1320" customWidth="1"/>
    <col min="14680" max="14681" width="2.42578125" style="1320" customWidth="1"/>
    <col min="14682" max="14682" width="11.5703125" style="1320" customWidth="1"/>
    <col min="14683" max="14683" width="12.7109375" style="1320" customWidth="1"/>
    <col min="14684" max="14684" width="8.28515625" style="1320" customWidth="1"/>
    <col min="14685" max="14685" width="10.5703125" style="1320" customWidth="1"/>
    <col min="14686" max="14686" width="3.85546875" style="1320" customWidth="1"/>
    <col min="14687" max="14687" width="8.140625" style="1320" customWidth="1"/>
    <col min="14688" max="14688" width="9.5703125" style="1320" customWidth="1"/>
    <col min="14689" max="14689" width="13.140625" style="1320" customWidth="1"/>
    <col min="14690" max="14874" width="11.42578125" style="1320"/>
    <col min="14875" max="14875" width="2.85546875" style="1320" customWidth="1"/>
    <col min="14876" max="14876" width="10.85546875" style="1320" customWidth="1"/>
    <col min="14877" max="14877" width="10.28515625" style="1320" customWidth="1"/>
    <col min="14878" max="14878" width="10.5703125" style="1320" customWidth="1"/>
    <col min="14879" max="14879" width="11.85546875" style="1320" customWidth="1"/>
    <col min="14880" max="14880" width="7.5703125" style="1320" customWidth="1"/>
    <col min="14881" max="14883" width="10.28515625" style="1320" customWidth="1"/>
    <col min="14884" max="14884" width="9.85546875" style="1320" customWidth="1"/>
    <col min="14885" max="14885" width="0.28515625" style="1320" customWidth="1"/>
    <col min="14886" max="14886" width="3.85546875" style="1320" customWidth="1"/>
    <col min="14887" max="14890" width="9.85546875" style="1320" customWidth="1"/>
    <col min="14891" max="14892" width="5.28515625" style="1320" customWidth="1"/>
    <col min="14893" max="14896" width="9.85546875" style="1320" customWidth="1"/>
    <col min="14897" max="14897" width="3.85546875" style="1320" customWidth="1"/>
    <col min="14898" max="14898" width="9.85546875" style="1320" customWidth="1"/>
    <col min="14899" max="14899" width="5.28515625" style="1320" customWidth="1"/>
    <col min="14900" max="14900" width="6" style="1320" customWidth="1"/>
    <col min="14901" max="14902" width="9.85546875" style="1320" customWidth="1"/>
    <col min="14903" max="14904" width="5.28515625" style="1320" customWidth="1"/>
    <col min="14905" max="14908" width="9.85546875" style="1320" customWidth="1"/>
    <col min="14909" max="14909" width="3.85546875" style="1320" customWidth="1"/>
    <col min="14910" max="14910" width="8.140625" style="1320" customWidth="1"/>
    <col min="14911" max="14911" width="8.7109375" style="1320" customWidth="1"/>
    <col min="14912" max="14912" width="12.85546875" style="1320" customWidth="1"/>
    <col min="14913" max="14913" width="12.42578125" style="1320" customWidth="1"/>
    <col min="14914" max="14915" width="5.28515625" style="1320" customWidth="1"/>
    <col min="14916" max="14917" width="9.85546875" style="1320" customWidth="1"/>
    <col min="14918" max="14919" width="4.7109375" style="1320" customWidth="1"/>
    <col min="14920" max="14920" width="9.28515625" style="1320" customWidth="1"/>
    <col min="14921" max="14921" width="3.85546875" style="1320" customWidth="1"/>
    <col min="14922" max="14925" width="9.85546875" style="1320" customWidth="1"/>
    <col min="14926" max="14927" width="5.28515625" style="1320" customWidth="1"/>
    <col min="14928" max="14930" width="9.85546875" style="1320" customWidth="1"/>
    <col min="14931" max="14931" width="9.140625" style="1320" customWidth="1"/>
    <col min="14932" max="14932" width="8.140625" style="1320" customWidth="1"/>
    <col min="14933" max="14933" width="9.5703125" style="1320" customWidth="1"/>
    <col min="14934" max="14934" width="13.140625" style="1320" customWidth="1"/>
    <col min="14935" max="14935" width="11.7109375" style="1320" customWidth="1"/>
    <col min="14936" max="14937" width="2.42578125" style="1320" customWidth="1"/>
    <col min="14938" max="14938" width="11.5703125" style="1320" customWidth="1"/>
    <col min="14939" max="14939" width="12.7109375" style="1320" customWidth="1"/>
    <col min="14940" max="14940" width="8.28515625" style="1320" customWidth="1"/>
    <col min="14941" max="14941" width="10.5703125" style="1320" customWidth="1"/>
    <col min="14942" max="14942" width="3.85546875" style="1320" customWidth="1"/>
    <col min="14943" max="14943" width="8.140625" style="1320" customWidth="1"/>
    <col min="14944" max="14944" width="9.5703125" style="1320" customWidth="1"/>
    <col min="14945" max="14945" width="13.140625" style="1320" customWidth="1"/>
    <col min="14946" max="15130" width="11.42578125" style="1320"/>
    <col min="15131" max="15131" width="2.85546875" style="1320" customWidth="1"/>
    <col min="15132" max="15132" width="10.85546875" style="1320" customWidth="1"/>
    <col min="15133" max="15133" width="10.28515625" style="1320" customWidth="1"/>
    <col min="15134" max="15134" width="10.5703125" style="1320" customWidth="1"/>
    <col min="15135" max="15135" width="11.85546875" style="1320" customWidth="1"/>
    <col min="15136" max="15136" width="7.5703125" style="1320" customWidth="1"/>
    <col min="15137" max="15139" width="10.28515625" style="1320" customWidth="1"/>
    <col min="15140" max="15140" width="9.85546875" style="1320" customWidth="1"/>
    <col min="15141" max="15141" width="0.28515625" style="1320" customWidth="1"/>
    <col min="15142" max="15142" width="3.85546875" style="1320" customWidth="1"/>
    <col min="15143" max="15146" width="9.85546875" style="1320" customWidth="1"/>
    <col min="15147" max="15148" width="5.28515625" style="1320" customWidth="1"/>
    <col min="15149" max="15152" width="9.85546875" style="1320" customWidth="1"/>
    <col min="15153" max="15153" width="3.85546875" style="1320" customWidth="1"/>
    <col min="15154" max="15154" width="9.85546875" style="1320" customWidth="1"/>
    <col min="15155" max="15155" width="5.28515625" style="1320" customWidth="1"/>
    <col min="15156" max="15156" width="6" style="1320" customWidth="1"/>
    <col min="15157" max="15158" width="9.85546875" style="1320" customWidth="1"/>
    <col min="15159" max="15160" width="5.28515625" style="1320" customWidth="1"/>
    <col min="15161" max="15164" width="9.85546875" style="1320" customWidth="1"/>
    <col min="15165" max="15165" width="3.85546875" style="1320" customWidth="1"/>
    <col min="15166" max="15166" width="8.140625" style="1320" customWidth="1"/>
    <col min="15167" max="15167" width="8.7109375" style="1320" customWidth="1"/>
    <col min="15168" max="15168" width="12.85546875" style="1320" customWidth="1"/>
    <col min="15169" max="15169" width="12.42578125" style="1320" customWidth="1"/>
    <col min="15170" max="15171" width="5.28515625" style="1320" customWidth="1"/>
    <col min="15172" max="15173" width="9.85546875" style="1320" customWidth="1"/>
    <col min="15174" max="15175" width="4.7109375" style="1320" customWidth="1"/>
    <col min="15176" max="15176" width="9.28515625" style="1320" customWidth="1"/>
    <col min="15177" max="15177" width="3.85546875" style="1320" customWidth="1"/>
    <col min="15178" max="15181" width="9.85546875" style="1320" customWidth="1"/>
    <col min="15182" max="15183" width="5.28515625" style="1320" customWidth="1"/>
    <col min="15184" max="15186" width="9.85546875" style="1320" customWidth="1"/>
    <col min="15187" max="15187" width="9.140625" style="1320" customWidth="1"/>
    <col min="15188" max="15188" width="8.140625" style="1320" customWidth="1"/>
    <col min="15189" max="15189" width="9.5703125" style="1320" customWidth="1"/>
    <col min="15190" max="15190" width="13.140625" style="1320" customWidth="1"/>
    <col min="15191" max="15191" width="11.7109375" style="1320" customWidth="1"/>
    <col min="15192" max="15193" width="2.42578125" style="1320" customWidth="1"/>
    <col min="15194" max="15194" width="11.5703125" style="1320" customWidth="1"/>
    <col min="15195" max="15195" width="12.7109375" style="1320" customWidth="1"/>
    <col min="15196" max="15196" width="8.28515625" style="1320" customWidth="1"/>
    <col min="15197" max="15197" width="10.5703125" style="1320" customWidth="1"/>
    <col min="15198" max="15198" width="3.85546875" style="1320" customWidth="1"/>
    <col min="15199" max="15199" width="8.140625" style="1320" customWidth="1"/>
    <col min="15200" max="15200" width="9.5703125" style="1320" customWidth="1"/>
    <col min="15201" max="15201" width="13.140625" style="1320" customWidth="1"/>
    <col min="15202" max="15386" width="11.42578125" style="1320"/>
    <col min="15387" max="15387" width="2.85546875" style="1320" customWidth="1"/>
    <col min="15388" max="15388" width="10.85546875" style="1320" customWidth="1"/>
    <col min="15389" max="15389" width="10.28515625" style="1320" customWidth="1"/>
    <col min="15390" max="15390" width="10.5703125" style="1320" customWidth="1"/>
    <col min="15391" max="15391" width="11.85546875" style="1320" customWidth="1"/>
    <col min="15392" max="15392" width="7.5703125" style="1320" customWidth="1"/>
    <col min="15393" max="15395" width="10.28515625" style="1320" customWidth="1"/>
    <col min="15396" max="15396" width="9.85546875" style="1320" customWidth="1"/>
    <col min="15397" max="15397" width="0.28515625" style="1320" customWidth="1"/>
    <col min="15398" max="15398" width="3.85546875" style="1320" customWidth="1"/>
    <col min="15399" max="15402" width="9.85546875" style="1320" customWidth="1"/>
    <col min="15403" max="15404" width="5.28515625" style="1320" customWidth="1"/>
    <col min="15405" max="15408" width="9.85546875" style="1320" customWidth="1"/>
    <col min="15409" max="15409" width="3.85546875" style="1320" customWidth="1"/>
    <col min="15410" max="15410" width="9.85546875" style="1320" customWidth="1"/>
    <col min="15411" max="15411" width="5.28515625" style="1320" customWidth="1"/>
    <col min="15412" max="15412" width="6" style="1320" customWidth="1"/>
    <col min="15413" max="15414" width="9.85546875" style="1320" customWidth="1"/>
    <col min="15415" max="15416" width="5.28515625" style="1320" customWidth="1"/>
    <col min="15417" max="15420" width="9.85546875" style="1320" customWidth="1"/>
    <col min="15421" max="15421" width="3.85546875" style="1320" customWidth="1"/>
    <col min="15422" max="15422" width="8.140625" style="1320" customWidth="1"/>
    <col min="15423" max="15423" width="8.7109375" style="1320" customWidth="1"/>
    <col min="15424" max="15424" width="12.85546875" style="1320" customWidth="1"/>
    <col min="15425" max="15425" width="12.42578125" style="1320" customWidth="1"/>
    <col min="15426" max="15427" width="5.28515625" style="1320" customWidth="1"/>
    <col min="15428" max="15429" width="9.85546875" style="1320" customWidth="1"/>
    <col min="15430" max="15431" width="4.7109375" style="1320" customWidth="1"/>
    <col min="15432" max="15432" width="9.28515625" style="1320" customWidth="1"/>
    <col min="15433" max="15433" width="3.85546875" style="1320" customWidth="1"/>
    <col min="15434" max="15437" width="9.85546875" style="1320" customWidth="1"/>
    <col min="15438" max="15439" width="5.28515625" style="1320" customWidth="1"/>
    <col min="15440" max="15442" width="9.85546875" style="1320" customWidth="1"/>
    <col min="15443" max="15443" width="9.140625" style="1320" customWidth="1"/>
    <col min="15444" max="15444" width="8.140625" style="1320" customWidth="1"/>
    <col min="15445" max="15445" width="9.5703125" style="1320" customWidth="1"/>
    <col min="15446" max="15446" width="13.140625" style="1320" customWidth="1"/>
    <col min="15447" max="15447" width="11.7109375" style="1320" customWidth="1"/>
    <col min="15448" max="15449" width="2.42578125" style="1320" customWidth="1"/>
    <col min="15450" max="15450" width="11.5703125" style="1320" customWidth="1"/>
    <col min="15451" max="15451" width="12.7109375" style="1320" customWidth="1"/>
    <col min="15452" max="15452" width="8.28515625" style="1320" customWidth="1"/>
    <col min="15453" max="15453" width="10.5703125" style="1320" customWidth="1"/>
    <col min="15454" max="15454" width="3.85546875" style="1320" customWidth="1"/>
    <col min="15455" max="15455" width="8.140625" style="1320" customWidth="1"/>
    <col min="15456" max="15456" width="9.5703125" style="1320" customWidth="1"/>
    <col min="15457" max="15457" width="13.140625" style="1320" customWidth="1"/>
    <col min="15458" max="15642" width="11.42578125" style="1320"/>
    <col min="15643" max="15643" width="2.85546875" style="1320" customWidth="1"/>
    <col min="15644" max="15644" width="10.85546875" style="1320" customWidth="1"/>
    <col min="15645" max="15645" width="10.28515625" style="1320" customWidth="1"/>
    <col min="15646" max="15646" width="10.5703125" style="1320" customWidth="1"/>
    <col min="15647" max="15647" width="11.85546875" style="1320" customWidth="1"/>
    <col min="15648" max="15648" width="7.5703125" style="1320" customWidth="1"/>
    <col min="15649" max="15651" width="10.28515625" style="1320" customWidth="1"/>
    <col min="15652" max="15652" width="9.85546875" style="1320" customWidth="1"/>
    <col min="15653" max="15653" width="0.28515625" style="1320" customWidth="1"/>
    <col min="15654" max="15654" width="3.85546875" style="1320" customWidth="1"/>
    <col min="15655" max="15658" width="9.85546875" style="1320" customWidth="1"/>
    <col min="15659" max="15660" width="5.28515625" style="1320" customWidth="1"/>
    <col min="15661" max="15664" width="9.85546875" style="1320" customWidth="1"/>
    <col min="15665" max="15665" width="3.85546875" style="1320" customWidth="1"/>
    <col min="15666" max="15666" width="9.85546875" style="1320" customWidth="1"/>
    <col min="15667" max="15667" width="5.28515625" style="1320" customWidth="1"/>
    <col min="15668" max="15668" width="6" style="1320" customWidth="1"/>
    <col min="15669" max="15670" width="9.85546875" style="1320" customWidth="1"/>
    <col min="15671" max="15672" width="5.28515625" style="1320" customWidth="1"/>
    <col min="15673" max="15676" width="9.85546875" style="1320" customWidth="1"/>
    <col min="15677" max="15677" width="3.85546875" style="1320" customWidth="1"/>
    <col min="15678" max="15678" width="8.140625" style="1320" customWidth="1"/>
    <col min="15679" max="15679" width="8.7109375" style="1320" customWidth="1"/>
    <col min="15680" max="15680" width="12.85546875" style="1320" customWidth="1"/>
    <col min="15681" max="15681" width="12.42578125" style="1320" customWidth="1"/>
    <col min="15682" max="15683" width="5.28515625" style="1320" customWidth="1"/>
    <col min="15684" max="15685" width="9.85546875" style="1320" customWidth="1"/>
    <col min="15686" max="15687" width="4.7109375" style="1320" customWidth="1"/>
    <col min="15688" max="15688" width="9.28515625" style="1320" customWidth="1"/>
    <col min="15689" max="15689" width="3.85546875" style="1320" customWidth="1"/>
    <col min="15690" max="15693" width="9.85546875" style="1320" customWidth="1"/>
    <col min="15694" max="15695" width="5.28515625" style="1320" customWidth="1"/>
    <col min="15696" max="15698" width="9.85546875" style="1320" customWidth="1"/>
    <col min="15699" max="15699" width="9.140625" style="1320" customWidth="1"/>
    <col min="15700" max="15700" width="8.140625" style="1320" customWidth="1"/>
    <col min="15701" max="15701" width="9.5703125" style="1320" customWidth="1"/>
    <col min="15702" max="15702" width="13.140625" style="1320" customWidth="1"/>
    <col min="15703" max="15703" width="11.7109375" style="1320" customWidth="1"/>
    <col min="15704" max="15705" width="2.42578125" style="1320" customWidth="1"/>
    <col min="15706" max="15706" width="11.5703125" style="1320" customWidth="1"/>
    <col min="15707" max="15707" width="12.7109375" style="1320" customWidth="1"/>
    <col min="15708" max="15708" width="8.28515625" style="1320" customWidth="1"/>
    <col min="15709" max="15709" width="10.5703125" style="1320" customWidth="1"/>
    <col min="15710" max="15710" width="3.85546875" style="1320" customWidth="1"/>
    <col min="15711" max="15711" width="8.140625" style="1320" customWidth="1"/>
    <col min="15712" max="15712" width="9.5703125" style="1320" customWidth="1"/>
    <col min="15713" max="15713" width="13.140625" style="1320" customWidth="1"/>
    <col min="15714" max="15898" width="11.42578125" style="1320"/>
    <col min="15899" max="15899" width="2.85546875" style="1320" customWidth="1"/>
    <col min="15900" max="15900" width="10.85546875" style="1320" customWidth="1"/>
    <col min="15901" max="15901" width="10.28515625" style="1320" customWidth="1"/>
    <col min="15902" max="15902" width="10.5703125" style="1320" customWidth="1"/>
    <col min="15903" max="15903" width="11.85546875" style="1320" customWidth="1"/>
    <col min="15904" max="15904" width="7.5703125" style="1320" customWidth="1"/>
    <col min="15905" max="15907" width="10.28515625" style="1320" customWidth="1"/>
    <col min="15908" max="15908" width="9.85546875" style="1320" customWidth="1"/>
    <col min="15909" max="15909" width="0.28515625" style="1320" customWidth="1"/>
    <col min="15910" max="15910" width="3.85546875" style="1320" customWidth="1"/>
    <col min="15911" max="15914" width="9.85546875" style="1320" customWidth="1"/>
    <col min="15915" max="15916" width="5.28515625" style="1320" customWidth="1"/>
    <col min="15917" max="15920" width="9.85546875" style="1320" customWidth="1"/>
    <col min="15921" max="15921" width="3.85546875" style="1320" customWidth="1"/>
    <col min="15922" max="15922" width="9.85546875" style="1320" customWidth="1"/>
    <col min="15923" max="15923" width="5.28515625" style="1320" customWidth="1"/>
    <col min="15924" max="15924" width="6" style="1320" customWidth="1"/>
    <col min="15925" max="15926" width="9.85546875" style="1320" customWidth="1"/>
    <col min="15927" max="15928" width="5.28515625" style="1320" customWidth="1"/>
    <col min="15929" max="15932" width="9.85546875" style="1320" customWidth="1"/>
    <col min="15933" max="15933" width="3.85546875" style="1320" customWidth="1"/>
    <col min="15934" max="15934" width="8.140625" style="1320" customWidth="1"/>
    <col min="15935" max="15935" width="8.7109375" style="1320" customWidth="1"/>
    <col min="15936" max="15936" width="12.85546875" style="1320" customWidth="1"/>
    <col min="15937" max="15937" width="12.42578125" style="1320" customWidth="1"/>
    <col min="15938" max="15939" width="5.28515625" style="1320" customWidth="1"/>
    <col min="15940" max="15941" width="9.85546875" style="1320" customWidth="1"/>
    <col min="15942" max="15943" width="4.7109375" style="1320" customWidth="1"/>
    <col min="15944" max="15944" width="9.28515625" style="1320" customWidth="1"/>
    <col min="15945" max="15945" width="3.85546875" style="1320" customWidth="1"/>
    <col min="15946" max="15949" width="9.85546875" style="1320" customWidth="1"/>
    <col min="15950" max="15951" width="5.28515625" style="1320" customWidth="1"/>
    <col min="15952" max="15954" width="9.85546875" style="1320" customWidth="1"/>
    <col min="15955" max="15955" width="9.140625" style="1320" customWidth="1"/>
    <col min="15956" max="15956" width="8.140625" style="1320" customWidth="1"/>
    <col min="15957" max="15957" width="9.5703125" style="1320" customWidth="1"/>
    <col min="15958" max="15958" width="13.140625" style="1320" customWidth="1"/>
    <col min="15959" max="15959" width="11.7109375" style="1320" customWidth="1"/>
    <col min="15960" max="15961" width="2.42578125" style="1320" customWidth="1"/>
    <col min="15962" max="15962" width="11.5703125" style="1320" customWidth="1"/>
    <col min="15963" max="15963" width="12.7109375" style="1320" customWidth="1"/>
    <col min="15964" max="15964" width="8.28515625" style="1320" customWidth="1"/>
    <col min="15965" max="15965" width="10.5703125" style="1320" customWidth="1"/>
    <col min="15966" max="15966" width="3.85546875" style="1320" customWidth="1"/>
    <col min="15967" max="15967" width="8.140625" style="1320" customWidth="1"/>
    <col min="15968" max="15968" width="9.5703125" style="1320" customWidth="1"/>
    <col min="15969" max="15969" width="13.140625" style="1320" customWidth="1"/>
    <col min="15970" max="16154" width="11.42578125" style="1320"/>
    <col min="16155" max="16155" width="2.85546875" style="1320" customWidth="1"/>
    <col min="16156" max="16156" width="10.85546875" style="1320" customWidth="1"/>
    <col min="16157" max="16157" width="10.28515625" style="1320" customWidth="1"/>
    <col min="16158" max="16158" width="10.5703125" style="1320" customWidth="1"/>
    <col min="16159" max="16159" width="11.85546875" style="1320" customWidth="1"/>
    <col min="16160" max="16160" width="7.5703125" style="1320" customWidth="1"/>
    <col min="16161" max="16163" width="10.28515625" style="1320" customWidth="1"/>
    <col min="16164" max="16164" width="9.85546875" style="1320" customWidth="1"/>
    <col min="16165" max="16165" width="0.28515625" style="1320" customWidth="1"/>
    <col min="16166" max="16166" width="3.85546875" style="1320" customWidth="1"/>
    <col min="16167" max="16170" width="9.85546875" style="1320" customWidth="1"/>
    <col min="16171" max="16172" width="5.28515625" style="1320" customWidth="1"/>
    <col min="16173" max="16176" width="9.85546875" style="1320" customWidth="1"/>
    <col min="16177" max="16177" width="3.85546875" style="1320" customWidth="1"/>
    <col min="16178" max="16178" width="9.85546875" style="1320" customWidth="1"/>
    <col min="16179" max="16179" width="5.28515625" style="1320" customWidth="1"/>
    <col min="16180" max="16180" width="6" style="1320" customWidth="1"/>
    <col min="16181" max="16182" width="9.85546875" style="1320" customWidth="1"/>
    <col min="16183" max="16184" width="5.28515625" style="1320" customWidth="1"/>
    <col min="16185" max="16188" width="9.85546875" style="1320" customWidth="1"/>
    <col min="16189" max="16189" width="3.85546875" style="1320" customWidth="1"/>
    <col min="16190" max="16190" width="8.140625" style="1320" customWidth="1"/>
    <col min="16191" max="16191" width="8.7109375" style="1320" customWidth="1"/>
    <col min="16192" max="16192" width="12.85546875" style="1320" customWidth="1"/>
    <col min="16193" max="16193" width="12.42578125" style="1320" customWidth="1"/>
    <col min="16194" max="16195" width="5.28515625" style="1320" customWidth="1"/>
    <col min="16196" max="16197" width="9.85546875" style="1320" customWidth="1"/>
    <col min="16198" max="16199" width="4.7109375" style="1320" customWidth="1"/>
    <col min="16200" max="16200" width="9.28515625" style="1320" customWidth="1"/>
    <col min="16201" max="16201" width="3.85546875" style="1320" customWidth="1"/>
    <col min="16202" max="16205" width="9.85546875" style="1320" customWidth="1"/>
    <col min="16206" max="16207" width="5.28515625" style="1320" customWidth="1"/>
    <col min="16208" max="16210" width="9.85546875" style="1320" customWidth="1"/>
    <col min="16211" max="16211" width="9.140625" style="1320" customWidth="1"/>
    <col min="16212" max="16212" width="8.140625" style="1320" customWidth="1"/>
    <col min="16213" max="16213" width="9.5703125" style="1320" customWidth="1"/>
    <col min="16214" max="16214" width="13.140625" style="1320" customWidth="1"/>
    <col min="16215" max="16215" width="11.7109375" style="1320" customWidth="1"/>
    <col min="16216" max="16217" width="2.42578125" style="1320" customWidth="1"/>
    <col min="16218" max="16218" width="11.5703125" style="1320" customWidth="1"/>
    <col min="16219" max="16219" width="12.7109375" style="1320" customWidth="1"/>
    <col min="16220" max="16220" width="8.28515625" style="1320" customWidth="1"/>
    <col min="16221" max="16221" width="10.5703125" style="1320" customWidth="1"/>
    <col min="16222" max="16222" width="3.85546875" style="1320" customWidth="1"/>
    <col min="16223" max="16223" width="8.140625" style="1320" customWidth="1"/>
    <col min="16224" max="16224" width="9.5703125" style="1320" customWidth="1"/>
    <col min="16225" max="16225" width="13.140625" style="1320" customWidth="1"/>
    <col min="16226" max="16372" width="11.42578125" style="1320"/>
    <col min="16373" max="16384" width="11.42578125" style="1320" customWidth="1"/>
  </cols>
  <sheetData>
    <row r="1" spans="1:208" ht="13.35" customHeight="1" thickBot="1">
      <c r="A1" s="1913"/>
      <c r="B1" s="2202" t="s">
        <v>2986</v>
      </c>
      <c r="C1" s="2202"/>
      <c r="D1" s="2202"/>
      <c r="E1" s="2202"/>
      <c r="F1" s="2202"/>
      <c r="G1" s="2202"/>
      <c r="H1" s="2202"/>
      <c r="I1" s="2202"/>
      <c r="J1" s="2202"/>
      <c r="K1" s="2202"/>
      <c r="L1" s="1316"/>
      <c r="M1" s="1316"/>
      <c r="N1" s="1316"/>
      <c r="O1" s="1316"/>
      <c r="P1" s="1316"/>
      <c r="Q1" s="1316"/>
      <c r="R1" s="1316"/>
      <c r="S1" s="1316"/>
      <c r="T1" s="1316"/>
      <c r="U1" s="1316"/>
      <c r="V1" s="1316"/>
      <c r="W1" s="1316"/>
      <c r="X1" s="1316"/>
      <c r="Y1" s="1316"/>
      <c r="Z1" s="1316"/>
      <c r="AA1" s="1316"/>
      <c r="AB1" s="1316"/>
      <c r="AC1" s="1316"/>
      <c r="AD1" s="1316"/>
      <c r="AE1" s="1316"/>
      <c r="AF1" s="1316"/>
      <c r="AG1" s="1316"/>
      <c r="AH1" s="1316"/>
      <c r="AI1" s="1316"/>
      <c r="AJ1" s="1316"/>
      <c r="AK1" s="1316"/>
      <c r="AL1" s="1316"/>
      <c r="AM1" s="1316"/>
      <c r="AN1" s="1316"/>
      <c r="AO1" s="1316"/>
      <c r="AP1" s="1316"/>
      <c r="AQ1" s="1316"/>
      <c r="AR1" s="1316"/>
      <c r="AS1" s="1316"/>
      <c r="AT1" s="1316"/>
      <c r="AU1" s="1316"/>
      <c r="AV1" s="1316"/>
      <c r="AW1" s="1317"/>
      <c r="AX1" s="1318"/>
      <c r="AY1" s="1318"/>
      <c r="AZ1" s="1318"/>
      <c r="BA1" s="1318"/>
      <c r="BB1" s="1318"/>
      <c r="BC1" s="1318"/>
      <c r="BD1" s="1318"/>
      <c r="BE1" s="1318"/>
      <c r="BF1" s="1318"/>
      <c r="BG1" s="1318"/>
      <c r="BH1" s="1318"/>
      <c r="BT1" s="1316"/>
      <c r="BU1" s="1316"/>
      <c r="BV1" s="1316"/>
      <c r="BW1" s="1316"/>
      <c r="BX1" s="1316"/>
      <c r="BY1" s="1316"/>
      <c r="BZ1" s="1316"/>
      <c r="CA1" s="1316"/>
      <c r="CB1" s="1316"/>
      <c r="CC1" s="1316"/>
      <c r="CD1" s="1316"/>
      <c r="CE1" s="1316"/>
      <c r="DI1" s="1316"/>
      <c r="DJ1" s="1316"/>
      <c r="DK1" s="1316"/>
      <c r="DL1" s="1316"/>
      <c r="DM1" s="1316"/>
      <c r="DN1" s="1316"/>
      <c r="GO1" s="1321" t="s">
        <v>2632</v>
      </c>
      <c r="GP1" s="1322" t="s">
        <v>1513</v>
      </c>
      <c r="GQ1" s="1322" t="s">
        <v>2633</v>
      </c>
      <c r="GR1" s="1322" t="s">
        <v>2634</v>
      </c>
      <c r="GS1" s="1323" t="s">
        <v>2635</v>
      </c>
      <c r="GT1" s="1323" t="s">
        <v>2636</v>
      </c>
      <c r="GU1" s="1322" t="s">
        <v>2637</v>
      </c>
      <c r="GV1" s="1324" t="s">
        <v>2638</v>
      </c>
      <c r="GW1" s="1324" t="s">
        <v>2639</v>
      </c>
      <c r="GX1" s="1324" t="s">
        <v>2634</v>
      </c>
      <c r="GY1" s="1324" t="s">
        <v>1513</v>
      </c>
      <c r="GZ1" s="1322" t="s">
        <v>2633</v>
      </c>
    </row>
    <row r="2" spans="1:208" ht="13.35" customHeight="1">
      <c r="A2" s="1913"/>
      <c r="B2" s="2202"/>
      <c r="C2" s="2202"/>
      <c r="D2" s="2202"/>
      <c r="E2" s="2202"/>
      <c r="F2" s="2202"/>
      <c r="G2" s="2202"/>
      <c r="H2" s="2202"/>
      <c r="I2" s="2202"/>
      <c r="J2" s="2202"/>
      <c r="K2" s="2202"/>
      <c r="L2" s="1325"/>
      <c r="M2" s="1325"/>
      <c r="N2" s="1325"/>
      <c r="O2" s="1325"/>
      <c r="P2" s="1325"/>
      <c r="Q2" s="1325"/>
      <c r="R2" s="1325"/>
      <c r="S2" s="1325"/>
      <c r="T2" s="1325"/>
      <c r="U2" s="1325"/>
      <c r="V2" s="1325"/>
      <c r="W2" s="1325"/>
      <c r="X2" s="1326"/>
      <c r="Y2" s="1326"/>
      <c r="Z2" s="1326"/>
      <c r="AA2" s="1326"/>
      <c r="AB2" s="1326"/>
      <c r="AC2" s="1326"/>
      <c r="AD2" s="1326"/>
      <c r="AE2" s="1326"/>
      <c r="AF2" s="1326"/>
      <c r="AG2" s="1326"/>
      <c r="AH2" s="1326"/>
      <c r="AI2" s="1325"/>
      <c r="AJ2" s="1325"/>
      <c r="AK2" s="1325"/>
      <c r="AL2" s="1325"/>
      <c r="AM2" s="1325"/>
      <c r="AN2" s="1325"/>
      <c r="AO2" s="1325"/>
      <c r="AP2" s="1325"/>
      <c r="AQ2" s="1325"/>
      <c r="AR2" s="1325"/>
      <c r="AS2" s="1325"/>
      <c r="AT2" s="1325"/>
      <c r="AU2" s="1325"/>
      <c r="AW2" s="1327"/>
      <c r="BC2" s="1327"/>
      <c r="BD2" s="1327"/>
      <c r="BE2" s="1327"/>
      <c r="BF2" s="1327"/>
      <c r="BG2" s="1327"/>
      <c r="BI2" s="1325"/>
      <c r="BJ2" s="1325"/>
      <c r="BK2" s="1325"/>
      <c r="BL2" s="1325"/>
      <c r="BM2" s="1325"/>
      <c r="BN2" s="1325"/>
      <c r="BO2" s="1325"/>
      <c r="BP2" s="1325"/>
      <c r="BQ2" s="1325"/>
      <c r="BR2" s="1325"/>
      <c r="BS2" s="1325"/>
      <c r="BU2" s="1319"/>
      <c r="CA2" s="1319"/>
      <c r="CB2" s="1319"/>
      <c r="CC2" s="1319"/>
      <c r="CD2" s="1319"/>
      <c r="CE2" s="1319"/>
      <c r="DI2" s="1325"/>
      <c r="DJ2" s="1325"/>
      <c r="DK2" s="1325"/>
      <c r="DL2" s="1325"/>
      <c r="DM2" s="1325"/>
      <c r="DN2" s="1325"/>
      <c r="GO2" s="1328" t="s">
        <v>703</v>
      </c>
      <c r="GP2" s="1329">
        <f>'IND 1.1.1'!I23</f>
        <v>5</v>
      </c>
      <c r="GQ2" s="1329">
        <f>'IND 1.2.1'!K15</f>
        <v>8</v>
      </c>
      <c r="GR2" s="1330">
        <f>GP2+GQ2</f>
        <v>13</v>
      </c>
      <c r="GS2" s="1329">
        <f>RANK(GR2,$GR$1:$GR$58,0)+COUNTIF(GR$1:GR2,GR2)-1</f>
        <v>22</v>
      </c>
      <c r="GT2" s="1329">
        <f>GS2</f>
        <v>22</v>
      </c>
      <c r="GU2" s="1331">
        <f>$GX2/SUM($GX$2:$GX$58)</f>
        <v>2.2667829119442022E-3</v>
      </c>
      <c r="GV2" s="1332" t="str">
        <f>GO2</f>
        <v>Administrateurs</v>
      </c>
      <c r="GW2" s="1332" t="s">
        <v>1852</v>
      </c>
      <c r="GX2" s="1333">
        <f>GR2</f>
        <v>13</v>
      </c>
      <c r="GY2" s="1333">
        <f>GP2</f>
        <v>5</v>
      </c>
      <c r="GZ2" s="1333">
        <f>GQ2</f>
        <v>8</v>
      </c>
    </row>
    <row r="3" spans="1:208" ht="13.35" customHeight="1">
      <c r="A3" s="1913"/>
      <c r="B3" s="2202"/>
      <c r="C3" s="2202"/>
      <c r="D3" s="2202"/>
      <c r="E3" s="2202"/>
      <c r="F3" s="2202"/>
      <c r="G3" s="2202"/>
      <c r="H3" s="2202"/>
      <c r="I3" s="2202"/>
      <c r="J3" s="2202"/>
      <c r="K3" s="2202"/>
      <c r="L3" s="1378" t="s">
        <v>2640</v>
      </c>
      <c r="M3" s="2065" t="str">
        <f>IF(D69+D70&lt;2,"Répartition par temps de travail, complet ou non complet ","Répartition des agents à temps complet ou non complet")</f>
        <v>Répartition des agents à temps complet ou non complet</v>
      </c>
      <c r="N3" s="2065"/>
      <c r="O3" s="2065"/>
      <c r="P3" s="2065"/>
      <c r="Q3" s="2065"/>
      <c r="R3" s="1378" t="s">
        <v>2640</v>
      </c>
      <c r="S3" s="2065" t="str">
        <f>IF(AND('IND 1.1.1'!B376+'IND 1.2.1'!L91=0),"Aucun agent à temps complet ",
IF(D69+D70&lt;2,"Répartition des temps travail, temps plein ou temps partiel ","Répartition des agents à temps plein ou à temps partiel"))</f>
        <v>Répartition des agents à temps plein ou à temps partiel</v>
      </c>
      <c r="T3" s="2065"/>
      <c r="U3" s="2065"/>
      <c r="V3" s="2065"/>
      <c r="W3" s="2065"/>
      <c r="X3" s="1335" t="s">
        <v>2640</v>
      </c>
      <c r="Y3" s="2065" t="str">
        <f>"En 2020, "&amp;
IF(AF126+AG126=0,
"aucune arrivée d'agent permanent",
IF(AF126+AG126&lt;2,AF126+AG126&amp;" arrivée d'agent permanent",
TEXT(AF126+AG126,"# ##0")&amp;" arrivées d'agents permanents"))
&amp;
IF(AF105+AG105=0,
" et aucun  départ ",
IF(AF105+AG105&lt;2,
" et "&amp;AF105+AG105&amp;" départ ",
" et "&amp;TEXT(AF105+AG105,"# ##0")&amp;" départs "))</f>
        <v xml:space="preserve">En 2020, 347 arrivées d'agents permanents et 353 départs </v>
      </c>
      <c r="Z3" s="2065"/>
      <c r="AA3" s="2065"/>
      <c r="AB3" s="2065"/>
      <c r="AD3" s="1378" t="s">
        <v>2640</v>
      </c>
      <c r="AE3" s="2064" t="str">
        <f>IF(AF105+AG105=0, "Aucun départ d'agent permanent en 2020", "Principales causes de départ d'agents permanents")</f>
        <v>Principales causes de départ d'agents permanents</v>
      </c>
      <c r="AF3" s="2064"/>
      <c r="AG3" s="2064"/>
      <c r="AH3" s="2064"/>
      <c r="AW3" s="1334" t="s">
        <v>2640</v>
      </c>
      <c r="AX3" s="2065" t="str">
        <f>IF(D69+D70=0,"Aucun agent dans la collectivité",IF(D69=0,BD3,IF(SUM('IND 2.1.1'!$F$15:$G$20)=0,
"Aucun jour d’absence pour motif médical concernant les fonctionnaires en 2020",
IF(ROUND(SUM('IND 2.1.1'!$F$15:$G$20)/D69,1)&gt;2,
"En moyenne, "&amp;ROUND((SUM('IND 2.1.1'!$F$15:$G$20))/D69,1)&amp;" jours d’absence pour tout motif médical en 2020 par fonctionnaire ",
"En moyenne, "&amp;ROUND((SUM('IND 2.1.1'!$F$15:$G$20))/D69,1)&amp;" jour d’absence pour tout motif médical en 2020 par fonctionnaire"))))</f>
        <v xml:space="preserve">En moyenne, 35,2 jours d’absence pour tout motif médical en 2020 par fonctionnaire </v>
      </c>
      <c r="AY3" s="2065"/>
      <c r="AZ3" s="2065"/>
      <c r="BA3" s="2065"/>
      <c r="BC3" s="1336" t="str">
        <f>IF(D69=0,"",IF(D70=0,"","&gt;"))</f>
        <v>&gt;</v>
      </c>
      <c r="BD3" s="2196" t="str">
        <f>IF(D70=0,"",IF(SUM('IND 2.1.2'!$F$15:$G$20)=0,"Aucun jour d’absence pour motif médical concernant les agents contractuels en 2020",
IF(SUM('IND 2.1.2'!$F$15:$G$20)/D70&gt;1,"En moyenne, "&amp;ROUND(SUM('IND 2.1.2'!$F$15:$G$20)/D70,1)&amp;" jours d’absence pour tout motif médical en 2020 par agent contractuel permanent ","En moyenne, "&amp;ROUND(SUM('IND 2.1.2'!$F$15:$G$20)/D70,1)&amp;" jour d’absence pour tout motif médical en 2020 par agent contractuel permanent "                           )))</f>
        <v xml:space="preserve">En moyenne, 14,4 jours d’absence pour tout motif médical en 2020 par agent contractuel permanent </v>
      </c>
      <c r="BE3" s="2196"/>
      <c r="BF3" s="2196"/>
      <c r="BG3" s="2196"/>
      <c r="BH3" s="2196"/>
      <c r="BI3" s="1334" t="s">
        <v>2640</v>
      </c>
      <c r="BJ3" s="2197" t="str">
        <f>IF('IND 5.1.1'!$F$15=0,"Aucun agent titulaire ou contractuel permanent n'a bénéficié d'un départ en formation en 2020",
"en 2020, "&amp;TEXT(BK102*100,"##,0")&amp;"% des agents permanents ont suivi une formation "&amp;CHAR(10)&amp;"d'au moins un jour")</f>
        <v>en 2020, 43,4% des agents permanents ont suivi une formation 
d'au moins un jour</v>
      </c>
      <c r="BK3" s="2197"/>
      <c r="BL3" s="2197"/>
      <c r="BM3" s="2197"/>
      <c r="BN3" s="2197"/>
      <c r="BO3" s="2197"/>
      <c r="BP3" s="1334" t="str">
        <f>IF(BQ3=" "," ","Æ")</f>
        <v>Æ</v>
      </c>
      <c r="BQ3" s="2065" t="str">
        <f>IF(D69+D70=0," ",IF(D69+D70&lt;2,
IF(BS102=0,"Aucun jour de formation suivi en 2020",IF(BS102&lt;2,ROUND(BS102,0)&amp;" jour de formation suivi en 2020",TEXT(ROUND(BS102,0),"# ##0")&amp;" jours de formation suivis par l'agents permanents en 2020")),
IF(BS102=0,"Aucun jour de formation suivi par des agents permanents en 2020",IF(BS102&lt;2,ROUND(BS102,0)&amp;" jour de formation suivi en 2020",TEXT(ROUND(BS102,0),"# ##0")&amp;" jours de formation suivis par les agents sur emploi permanent en 2020"))))</f>
        <v>3 836 jours de formation suivis par les agents sur emploi permanent en 2020</v>
      </c>
      <c r="BR3" s="2065"/>
      <c r="BS3" s="2065"/>
      <c r="BT3" s="2065"/>
      <c r="BU3" s="1334" t="s">
        <v>2640</v>
      </c>
      <c r="BV3" s="1337" t="s">
        <v>2993</v>
      </c>
      <c r="DI3" s="1319"/>
      <c r="GO3" s="1328" t="s">
        <v>704</v>
      </c>
      <c r="GP3" s="1329">
        <f>'IND 1.1.1'!I30</f>
        <v>129</v>
      </c>
      <c r="GQ3" s="1329">
        <f>'IND 1.2.1'!K16</f>
        <v>39</v>
      </c>
      <c r="GR3" s="1330">
        <f t="shared" ref="GR3:GR58" si="0">GP3+GQ3</f>
        <v>168</v>
      </c>
      <c r="GS3" s="1329">
        <f>RANK(GR3,$GR$1:$GR$58,0)+COUNTIF(GR$1:GR3,GR3)-1</f>
        <v>7</v>
      </c>
      <c r="GT3" s="1329">
        <f t="shared" ref="GT3:GT58" si="1">GS3</f>
        <v>7</v>
      </c>
      <c r="GU3" s="1331">
        <f t="shared" ref="GU3:GU58" si="2">$GX3/SUM($GX$2:$GX$58)</f>
        <v>2.9293809938971228E-2</v>
      </c>
      <c r="GV3" s="1332" t="str">
        <f t="shared" ref="GV3:GV58" si="3">GO3</f>
        <v>Attachés</v>
      </c>
      <c r="GW3" s="1332" t="s">
        <v>1852</v>
      </c>
      <c r="GX3" s="1333">
        <f t="shared" ref="GX3:GX58" si="4">GR3</f>
        <v>168</v>
      </c>
      <c r="GY3" s="1333">
        <f t="shared" ref="GY3:GZ58" si="5">GP3</f>
        <v>129</v>
      </c>
      <c r="GZ3" s="1333">
        <f t="shared" si="5"/>
        <v>39</v>
      </c>
    </row>
    <row r="4" spans="1:208" ht="13.35" customHeight="1">
      <c r="A4" s="1913"/>
      <c r="B4" s="2202"/>
      <c r="C4" s="2202"/>
      <c r="D4" s="2202"/>
      <c r="E4" s="2202"/>
      <c r="F4" s="2202"/>
      <c r="G4" s="2202"/>
      <c r="H4" s="2202"/>
      <c r="I4" s="2202"/>
      <c r="J4" s="2202"/>
      <c r="K4" s="2202"/>
      <c r="M4" s="2065"/>
      <c r="N4" s="2065"/>
      <c r="O4" s="2065"/>
      <c r="P4" s="2065"/>
      <c r="Q4" s="2065"/>
      <c r="S4" s="2065"/>
      <c r="T4" s="2065"/>
      <c r="U4" s="2065"/>
      <c r="V4" s="2065"/>
      <c r="W4" s="2065"/>
      <c r="X4" s="1338"/>
      <c r="Y4" s="2065"/>
      <c r="Z4" s="2065"/>
      <c r="AA4" s="2065"/>
      <c r="AB4" s="2065"/>
      <c r="AE4" s="2064"/>
      <c r="AF4" s="2064"/>
      <c r="AG4" s="2064"/>
      <c r="AH4" s="2064"/>
      <c r="AI4" s="2010" t="s">
        <v>2640</v>
      </c>
      <c r="AJ4" s="2065" t="str">
        <f>IF(AL6="0 €","Informations manquantes","Les charges de personnel représentent "&amp;ROUND($AP$62,2)&amp;" % des dépenses de fonctionnement")</f>
        <v>Les charges de personnel représentent 57,18 % des dépenses de fonctionnement</v>
      </c>
      <c r="AK4" s="2065"/>
      <c r="AL4" s="2065"/>
      <c r="AM4" s="2065"/>
      <c r="AN4" s="2065"/>
      <c r="AO4" s="2065"/>
      <c r="AP4" s="2065"/>
      <c r="AQ4" s="2065"/>
      <c r="AR4" s="2065"/>
      <c r="AS4" s="2065"/>
      <c r="AT4" s="2065"/>
      <c r="AU4" s="2065"/>
      <c r="AV4" s="2065"/>
      <c r="AX4" s="2065"/>
      <c r="AY4" s="2065"/>
      <c r="AZ4" s="2065"/>
      <c r="BA4" s="2065"/>
      <c r="BB4" s="1320"/>
      <c r="BD4" s="2196"/>
      <c r="BE4" s="2196"/>
      <c r="BF4" s="2196"/>
      <c r="BG4" s="2196"/>
      <c r="BH4" s="2196"/>
      <c r="BJ4" s="2197"/>
      <c r="BK4" s="2197"/>
      <c r="BL4" s="2197"/>
      <c r="BM4" s="2197"/>
      <c r="BN4" s="2197"/>
      <c r="BO4" s="2197"/>
      <c r="BP4" s="1339"/>
      <c r="BQ4" s="2065"/>
      <c r="BR4" s="2065"/>
      <c r="BS4" s="2065"/>
      <c r="BT4" s="2065"/>
      <c r="DI4" s="1319"/>
      <c r="GJ4" s="1340" t="s">
        <v>2641</v>
      </c>
      <c r="GK4" s="1340" t="s">
        <v>2642</v>
      </c>
      <c r="GL4" s="1340" t="s">
        <v>2643</v>
      </c>
      <c r="GO4" s="1328" t="s">
        <v>1382</v>
      </c>
      <c r="GP4" s="1329">
        <f>'IND 1.1.1'!I33</f>
        <v>0</v>
      </c>
      <c r="GQ4" s="1329">
        <f>'IND 1.2.1'!K17</f>
        <v>0</v>
      </c>
      <c r="GR4" s="1330">
        <f t="shared" si="0"/>
        <v>0</v>
      </c>
      <c r="GS4" s="1329">
        <f>RANK(GR4,$GR$1:$GR$58,0)+COUNTIF(GR$1:GR4,GR4)-1</f>
        <v>37</v>
      </c>
      <c r="GT4" s="1329">
        <f t="shared" si="1"/>
        <v>37</v>
      </c>
      <c r="GU4" s="1331">
        <f t="shared" si="2"/>
        <v>0</v>
      </c>
      <c r="GV4" s="1332" t="str">
        <f t="shared" si="3"/>
        <v>Secrétaires de mairie</v>
      </c>
      <c r="GW4" s="1332" t="s">
        <v>1852</v>
      </c>
      <c r="GX4" s="1333">
        <f t="shared" si="4"/>
        <v>0</v>
      </c>
      <c r="GY4" s="1333">
        <f t="shared" si="5"/>
        <v>0</v>
      </c>
      <c r="GZ4" s="1333">
        <f t="shared" si="5"/>
        <v>0</v>
      </c>
    </row>
    <row r="5" spans="1:208" ht="13.35" customHeight="1">
      <c r="A5" s="1913"/>
      <c r="B5" s="2203" t="s">
        <v>2640</v>
      </c>
      <c r="C5" s="2204" t="str">
        <f>'Page de garde'!$A$3</f>
        <v>VILLE DE NICE</v>
      </c>
      <c r="D5" s="2204"/>
      <c r="E5" s="2204"/>
      <c r="F5" s="2204"/>
      <c r="G5" s="2204"/>
      <c r="H5" s="2204"/>
      <c r="I5" s="2204"/>
      <c r="J5" s="2204"/>
      <c r="K5" s="2204"/>
      <c r="M5" s="2065"/>
      <c r="N5" s="2065"/>
      <c r="O5" s="2065"/>
      <c r="P5" s="2065"/>
      <c r="Q5" s="2065"/>
      <c r="S5" s="2065"/>
      <c r="T5" s="2065"/>
      <c r="U5" s="2065"/>
      <c r="V5" s="2065"/>
      <c r="W5" s="2065"/>
      <c r="X5" s="1338"/>
      <c r="Y5" s="2065"/>
      <c r="Z5" s="2065"/>
      <c r="AA5" s="2065"/>
      <c r="AB5" s="2065"/>
      <c r="AE5" s="2064"/>
      <c r="AF5" s="2064"/>
      <c r="AG5" s="2064"/>
      <c r="AH5" s="2064"/>
      <c r="AI5" s="2010"/>
      <c r="AJ5" s="2065"/>
      <c r="AK5" s="2065"/>
      <c r="AL5" s="2065"/>
      <c r="AM5" s="2065"/>
      <c r="AN5" s="2065"/>
      <c r="AO5" s="2065"/>
      <c r="AP5" s="2065"/>
      <c r="AQ5" s="2065"/>
      <c r="AR5" s="2065"/>
      <c r="AS5" s="2065"/>
      <c r="AT5" s="2065"/>
      <c r="AU5" s="2065"/>
      <c r="AV5" s="2065"/>
      <c r="AX5" s="2065"/>
      <c r="AY5" s="2065"/>
      <c r="AZ5" s="2065"/>
      <c r="BA5" s="2065"/>
      <c r="BB5" s="1320"/>
      <c r="BD5" s="2196"/>
      <c r="BE5" s="2196"/>
      <c r="BF5" s="2196"/>
      <c r="BG5" s="2196"/>
      <c r="BH5" s="2196"/>
      <c r="BJ5" s="2197"/>
      <c r="BK5" s="2197"/>
      <c r="BL5" s="2197"/>
      <c r="BM5" s="2197"/>
      <c r="BN5" s="2197"/>
      <c r="BO5" s="2197"/>
      <c r="BP5" s="1339"/>
      <c r="BQ5" s="2065"/>
      <c r="BR5" s="2065"/>
      <c r="BS5" s="2065"/>
      <c r="BT5" s="2065"/>
      <c r="BV5" s="2164" t="s">
        <v>2988</v>
      </c>
      <c r="BW5" s="2165"/>
      <c r="BX5" s="2165"/>
      <c r="BY5" s="2165"/>
      <c r="BZ5" s="2165"/>
      <c r="CA5" s="2164" t="s">
        <v>2989</v>
      </c>
      <c r="CB5" s="2165"/>
      <c r="CC5" s="2165"/>
      <c r="CD5" s="2165"/>
      <c r="CE5" s="2165"/>
      <c r="CG5" s="1320" t="str">
        <f>IF(BM36="","","Santé")</f>
        <v>Santé</v>
      </c>
      <c r="DI5" s="1319"/>
      <c r="GJ5" s="1341">
        <v>67</v>
      </c>
      <c r="GK5" s="1341" t="s">
        <v>2644</v>
      </c>
      <c r="GL5" s="1341" t="s">
        <v>2645</v>
      </c>
      <c r="GO5" s="1328" t="s">
        <v>1383</v>
      </c>
      <c r="GP5" s="1329">
        <f>'IND 1.1.1'!I40</f>
        <v>134</v>
      </c>
      <c r="GQ5" s="1329">
        <f>'IND 1.2.1'!K18</f>
        <v>13</v>
      </c>
      <c r="GR5" s="1330">
        <f t="shared" si="0"/>
        <v>147</v>
      </c>
      <c r="GS5" s="1329">
        <f>RANK(GR5,$GR$1:$GR$58,0)+COUNTIF(GR$1:GR5,GR5)-1</f>
        <v>9</v>
      </c>
      <c r="GT5" s="1329">
        <f t="shared" si="1"/>
        <v>9</v>
      </c>
      <c r="GU5" s="1331">
        <f t="shared" si="2"/>
        <v>2.5632083696599826E-2</v>
      </c>
      <c r="GV5" s="1332" t="str">
        <f t="shared" si="3"/>
        <v>Rédacteurs</v>
      </c>
      <c r="GW5" s="1332" t="s">
        <v>447</v>
      </c>
      <c r="GX5" s="1333">
        <f t="shared" si="4"/>
        <v>147</v>
      </c>
      <c r="GY5" s="1333">
        <f t="shared" si="5"/>
        <v>134</v>
      </c>
      <c r="GZ5" s="1333">
        <f t="shared" si="5"/>
        <v>13</v>
      </c>
    </row>
    <row r="6" spans="1:208" ht="13.35" customHeight="1">
      <c r="A6" s="1913"/>
      <c r="B6" s="2203"/>
      <c r="C6" s="2204"/>
      <c r="D6" s="2204"/>
      <c r="E6" s="2204"/>
      <c r="F6" s="2204"/>
      <c r="G6" s="2204"/>
      <c r="H6" s="2204"/>
      <c r="I6" s="2204"/>
      <c r="J6" s="2204"/>
      <c r="K6" s="2204"/>
      <c r="X6" s="1338"/>
      <c r="Y6" s="2189" t="str">
        <f>IF(AF128+AF129+AF130=0,"Aucun contractuel permanent nommé stagiaire",IF(AF128+AF129+AF130&lt;2,AF128+AF129+AF130&amp;" contractuel permanent nommé stagiaire",AF128+AF129+AF130&amp;" contractuels permanents nommés stagiaires"))</f>
        <v>194 contractuels permanents nommés stagiaires</v>
      </c>
      <c r="Z6" s="2189"/>
      <c r="AA6" s="2189"/>
      <c r="AB6" s="2189"/>
      <c r="AC6" s="1342"/>
      <c r="AD6" s="1343">
        <v>1</v>
      </c>
      <c r="AE6" s="2173" t="str">
        <f>IF(ISNA(VLOOKUP(AD6,$AA$87:$AG$104,2,FALSE))=TRUE,"",VLOOKUP(AD6,$AA$87:$AG$104,2,FALSE))</f>
        <v>Départ à la retraite</v>
      </c>
      <c r="AF6" s="2173"/>
      <c r="AG6" s="2173"/>
      <c r="AH6" s="1344">
        <f>IF(AE6&gt;"",VLOOKUP(AD6,$AA$86:$AE$104,5,FALSE),"")</f>
        <v>0.41643059490084988</v>
      </c>
      <c r="AJ6" s="2190" t="s">
        <v>2646</v>
      </c>
      <c r="AK6" s="2190"/>
      <c r="AL6" s="2191" t="str">
        <f>TEXT('IND 3.4.5'!C7,"# ##0") &amp; " €"</f>
        <v>543 121 085 €</v>
      </c>
      <c r="AM6" s="2191"/>
      <c r="AN6" s="2192" t="s">
        <v>2647</v>
      </c>
      <c r="AO6" s="2192"/>
      <c r="AP6" s="2193" t="str">
        <f>TEXT('IND 3.4.5'!C8,"# ##0") &amp; " €"</f>
        <v>310 540 603 €</v>
      </c>
      <c r="AQ6" s="2193"/>
      <c r="AR6" s="1345"/>
      <c r="AS6" s="2194" t="str">
        <f>IF(AL6="0 €","Informations manquantes","Soit "&amp;ROUND($AP$62,2)&amp;" % des dépenses de fonctionnement")</f>
        <v>Soit 57,18 % des dépenses de fonctionnement</v>
      </c>
      <c r="AT6" s="2194"/>
      <c r="AU6" s="2194"/>
      <c r="AV6" s="2194"/>
      <c r="AX6" s="2065"/>
      <c r="AY6" s="2065"/>
      <c r="AZ6" s="2065"/>
      <c r="BA6" s="2065"/>
      <c r="BB6" s="1320"/>
      <c r="BD6" s="2196"/>
      <c r="BE6" s="2196"/>
      <c r="BF6" s="2196"/>
      <c r="BG6" s="2196"/>
      <c r="BH6" s="2196"/>
      <c r="BJ6" s="2197"/>
      <c r="BK6" s="2197"/>
      <c r="BL6" s="2197"/>
      <c r="BM6" s="2197"/>
      <c r="BN6" s="2197"/>
      <c r="BO6" s="2197"/>
      <c r="BQ6" s="2195" t="str">
        <f>IF('IND 5.1.1'!$F$14=0,"  ","Répartition des jours de formation"&amp;CHAR(10)&amp;"par catégorie hiérarchique")</f>
        <v>Répartition des jours de formation
par catégorie hiérarchique</v>
      </c>
      <c r="BR6" s="2195"/>
      <c r="BS6" s="2195"/>
      <c r="BT6" s="2195"/>
      <c r="BV6" s="2165"/>
      <c r="BW6" s="2165"/>
      <c r="BX6" s="2165"/>
      <c r="BY6" s="2165"/>
      <c r="BZ6" s="2165"/>
      <c r="CA6" s="2165"/>
      <c r="CB6" s="2165"/>
      <c r="CC6" s="2165"/>
      <c r="CD6" s="2165"/>
      <c r="CE6" s="2165"/>
      <c r="CQ6" s="1319"/>
      <c r="CR6" s="1319"/>
      <c r="CS6" s="1319"/>
      <c r="CT6" s="1319"/>
      <c r="CU6" s="1319"/>
      <c r="CV6" s="1319"/>
      <c r="CW6" s="1319"/>
      <c r="DI6" s="1319"/>
      <c r="GJ6" s="1341">
        <v>68</v>
      </c>
      <c r="GK6" s="1341" t="s">
        <v>2644</v>
      </c>
      <c r="GL6" s="1341" t="s">
        <v>2648</v>
      </c>
      <c r="GO6" s="1328" t="s">
        <v>1384</v>
      </c>
      <c r="GP6" s="1329">
        <f>'IND 1.1.1'!I47</f>
        <v>858</v>
      </c>
      <c r="GQ6" s="1329">
        <f>'IND 1.2.1'!K19</f>
        <v>118</v>
      </c>
      <c r="GR6" s="1330">
        <f t="shared" si="0"/>
        <v>976</v>
      </c>
      <c r="GS6" s="1329">
        <f>RANK(GR6,$GR$1:$GR$58,0)+COUNTIF(GR$1:GR6,GR6)-1</f>
        <v>2</v>
      </c>
      <c r="GT6" s="1329">
        <f t="shared" si="1"/>
        <v>2</v>
      </c>
      <c r="GU6" s="1331">
        <f t="shared" si="2"/>
        <v>0.17018308631211856</v>
      </c>
      <c r="GV6" s="1332" t="str">
        <f t="shared" si="3"/>
        <v>Adjoints administratifs</v>
      </c>
      <c r="GW6" s="1332" t="s">
        <v>375</v>
      </c>
      <c r="GX6" s="1333">
        <f t="shared" si="4"/>
        <v>976</v>
      </c>
      <c r="GY6" s="1333">
        <f t="shared" si="5"/>
        <v>858</v>
      </c>
      <c r="GZ6" s="1333">
        <f t="shared" si="5"/>
        <v>118</v>
      </c>
    </row>
    <row r="7" spans="1:208" ht="13.35" customHeight="1">
      <c r="A7" s="1913"/>
      <c r="B7" s="2203"/>
      <c r="C7" s="2204"/>
      <c r="D7" s="2204"/>
      <c r="E7" s="2204"/>
      <c r="F7" s="2204"/>
      <c r="G7" s="2204"/>
      <c r="H7" s="2204"/>
      <c r="I7" s="2204"/>
      <c r="J7" s="2204"/>
      <c r="K7" s="2204"/>
      <c r="X7" s="1338"/>
      <c r="Y7" s="2189"/>
      <c r="Z7" s="2189"/>
      <c r="AA7" s="2189"/>
      <c r="AB7" s="2189"/>
      <c r="AD7" s="1343">
        <v>2</v>
      </c>
      <c r="AE7" s="2157" t="str">
        <f>IF(ISNA(VLOOKUP(AD7,$AA$87:$AG$104,2,FALSE))=TRUE,"",VLOOKUP(AD7,$AA$87:$AG$104,2,FALSE))</f>
        <v>Mutation</v>
      </c>
      <c r="AF7" s="2157"/>
      <c r="AG7" s="2157"/>
      <c r="AH7" s="1346">
        <f>IF(AE7&gt;"",VLOOKUP(AD7,$AA$86:$AE$104,5,FALSE),"")</f>
        <v>0.12181303116147309</v>
      </c>
      <c r="AJ7" s="2190"/>
      <c r="AK7" s="2190"/>
      <c r="AL7" s="2191"/>
      <c r="AM7" s="2191"/>
      <c r="AN7" s="2192"/>
      <c r="AO7" s="2192"/>
      <c r="AP7" s="2193"/>
      <c r="AQ7" s="2193"/>
      <c r="AR7" s="1345"/>
      <c r="AS7" s="2194"/>
      <c r="AT7" s="2194"/>
      <c r="AU7" s="2194"/>
      <c r="AV7" s="2194"/>
      <c r="AW7" s="1347"/>
      <c r="AX7" s="1348"/>
      <c r="AY7" s="1348"/>
      <c r="AZ7" s="1348"/>
      <c r="BA7" s="2091" t="str">
        <f>IF($D$69=0," ","Fonctionnaires")</f>
        <v>Fonctionnaires</v>
      </c>
      <c r="BB7" s="2091"/>
      <c r="BC7" s="2091" t="str">
        <f>IF($D$70=0," ","Contractuels"&amp; CHAR(10)&amp; "permanents")</f>
        <v>Contractuels
permanents</v>
      </c>
      <c r="BD7" s="2091"/>
      <c r="BE7" s="2091" t="s">
        <v>2649</v>
      </c>
      <c r="BF7" s="2091"/>
      <c r="BG7" s="2091" t="str">
        <f>IF($D$71=0," ","Contractuels"&amp; CHAR(10)&amp; " non permanents")</f>
        <v>Contractuels
 non permanents</v>
      </c>
      <c r="BH7" s="2091"/>
      <c r="BJ7" s="2198" t="str">
        <f>IF('IND 5.1.1'!$F$14=0,"  ","Pourcentage d'agents par catégorie et par statut ayant bénéficié d'au moins un jour de formation en 2020")</f>
        <v>Pourcentage d'agents par catégorie et par statut ayant bénéficié d'au moins un jour de formation en 2020</v>
      </c>
      <c r="BK7" s="2198"/>
      <c r="BL7" s="2198"/>
      <c r="BM7" s="2198"/>
      <c r="BN7" s="2198"/>
      <c r="BO7" s="2198"/>
      <c r="BQ7" s="2195"/>
      <c r="BR7" s="2195"/>
      <c r="BS7" s="2195"/>
      <c r="BT7" s="2195"/>
      <c r="BV7" s="2165"/>
      <c r="BW7" s="2165"/>
      <c r="BX7" s="2165"/>
      <c r="BY7" s="2165"/>
      <c r="BZ7" s="2165"/>
      <c r="CA7" s="2165"/>
      <c r="CB7" s="2165"/>
      <c r="CC7" s="2165"/>
      <c r="CD7" s="2165"/>
      <c r="CE7" s="2165"/>
      <c r="DI7" s="1319"/>
      <c r="GJ7" s="1341">
        <v>24</v>
      </c>
      <c r="GK7" s="1341" t="s">
        <v>2650</v>
      </c>
      <c r="GL7" s="1341" t="s">
        <v>2651</v>
      </c>
      <c r="GO7" s="1349" t="s">
        <v>1323</v>
      </c>
      <c r="GP7" s="1329">
        <f>'IND 1.1.1'!I56</f>
        <v>14</v>
      </c>
      <c r="GQ7" s="1329">
        <f>'IND 1.2.1'!K22</f>
        <v>4</v>
      </c>
      <c r="GR7" s="1330">
        <f t="shared" si="0"/>
        <v>18</v>
      </c>
      <c r="GS7" s="1329">
        <f>RANK(GR7,$GR$1:$GR$58,0)+COUNTIF(GR$1:GR7,GR7)-1</f>
        <v>21</v>
      </c>
      <c r="GT7" s="1329">
        <f t="shared" si="1"/>
        <v>21</v>
      </c>
      <c r="GU7" s="1331">
        <f t="shared" si="2"/>
        <v>3.1386224934612031E-3</v>
      </c>
      <c r="GV7" s="1332" t="str">
        <f t="shared" si="3"/>
        <v>Ingénieurs en chef</v>
      </c>
      <c r="GW7" s="1332" t="s">
        <v>1852</v>
      </c>
      <c r="GX7" s="1333">
        <f t="shared" si="4"/>
        <v>18</v>
      </c>
      <c r="GY7" s="1333">
        <f t="shared" si="5"/>
        <v>14</v>
      </c>
      <c r="GZ7" s="1333">
        <f t="shared" si="5"/>
        <v>4</v>
      </c>
    </row>
    <row r="8" spans="1:208" ht="13.35" customHeight="1">
      <c r="B8" s="2203"/>
      <c r="C8" s="2204"/>
      <c r="D8" s="2204"/>
      <c r="E8" s="2204"/>
      <c r="F8" s="2204"/>
      <c r="G8" s="2204"/>
      <c r="H8" s="2204"/>
      <c r="I8" s="2204"/>
      <c r="J8" s="2204"/>
      <c r="K8" s="2204"/>
      <c r="X8" s="1338"/>
      <c r="Y8" s="2199" t="s">
        <v>2652</v>
      </c>
      <c r="Z8" s="2199"/>
      <c r="AA8" s="2199"/>
      <c r="AB8" s="2199"/>
      <c r="AD8" s="1343">
        <v>3</v>
      </c>
      <c r="AE8" s="2173" t="str">
        <f>IF(ISNA(VLOOKUP(AD8,$AA$87:$AG$104,2,FALSE))=TRUE,"",VLOOKUP(AD8,$AA$87:$AG$104,2,FALSE))</f>
        <v>Démission</v>
      </c>
      <c r="AF8" s="2173"/>
      <c r="AG8" s="2173"/>
      <c r="AH8" s="1344">
        <f>IF(AE8&gt;"",VLOOKUP(AD8,$AA$86:$AE$104,5,FALSE),"")</f>
        <v>0.11898016997167139</v>
      </c>
      <c r="AJ8" s="2201" t="s">
        <v>2653</v>
      </c>
      <c r="AK8" s="2201"/>
      <c r="AL8" s="2201"/>
      <c r="AM8" s="1350"/>
      <c r="AN8" s="1351"/>
      <c r="AO8" s="1351"/>
      <c r="AP8" s="1351"/>
      <c r="AQ8" s="1351"/>
      <c r="AR8" s="1351"/>
      <c r="AS8" s="1351"/>
      <c r="AT8" s="1351"/>
      <c r="AU8" s="1351"/>
      <c r="AV8" s="1351"/>
      <c r="AX8" s="1348"/>
      <c r="AY8" s="1348"/>
      <c r="AZ8" s="1348"/>
      <c r="BA8" s="2091"/>
      <c r="BB8" s="2091"/>
      <c r="BC8" s="2091"/>
      <c r="BD8" s="2091"/>
      <c r="BE8" s="2091"/>
      <c r="BF8" s="2091"/>
      <c r="BG8" s="2091"/>
      <c r="BH8" s="2091"/>
      <c r="BJ8" s="2198"/>
      <c r="BK8" s="2198"/>
      <c r="BL8" s="2198"/>
      <c r="BM8" s="2198"/>
      <c r="BN8" s="2198"/>
      <c r="BO8" s="2198"/>
      <c r="BV8" s="2165"/>
      <c r="BW8" s="2165"/>
      <c r="BX8" s="2165"/>
      <c r="BY8" s="2165"/>
      <c r="BZ8" s="2165"/>
      <c r="CA8" s="2165"/>
      <c r="CB8" s="2165"/>
      <c r="CC8" s="2165"/>
      <c r="CD8" s="2165"/>
      <c r="CE8" s="2165"/>
      <c r="DI8" s="1319"/>
      <c r="GJ8" s="1341">
        <v>33</v>
      </c>
      <c r="GK8" s="1341" t="s">
        <v>2650</v>
      </c>
      <c r="GL8" s="1341" t="s">
        <v>2654</v>
      </c>
      <c r="GO8" s="1349" t="s">
        <v>705</v>
      </c>
      <c r="GP8" s="1329">
        <f>'IND 1.1.1'!I62</f>
        <v>34</v>
      </c>
      <c r="GQ8" s="1329">
        <f>'IND 1.2.1'!K23</f>
        <v>7</v>
      </c>
      <c r="GR8" s="1330">
        <f t="shared" si="0"/>
        <v>41</v>
      </c>
      <c r="GS8" s="1329">
        <f>RANK(GR8,$GR$1:$GR$58,0)+COUNTIF(GR$1:GR8,GR8)-1</f>
        <v>17</v>
      </c>
      <c r="GT8" s="1329">
        <f t="shared" si="1"/>
        <v>17</v>
      </c>
      <c r="GU8" s="1331">
        <f t="shared" si="2"/>
        <v>7.1490845684394075E-3</v>
      </c>
      <c r="GV8" s="1332" t="str">
        <f t="shared" si="3"/>
        <v>Ingénieurs</v>
      </c>
      <c r="GW8" s="1332" t="s">
        <v>1852</v>
      </c>
      <c r="GX8" s="1333">
        <f t="shared" si="4"/>
        <v>41</v>
      </c>
      <c r="GY8" s="1333">
        <f t="shared" si="5"/>
        <v>34</v>
      </c>
      <c r="GZ8" s="1333">
        <f t="shared" si="5"/>
        <v>7</v>
      </c>
    </row>
    <row r="9" spans="1:208" ht="13.35" customHeight="1">
      <c r="B9" s="2203"/>
      <c r="C9" s="2204"/>
      <c r="D9" s="2204"/>
      <c r="E9" s="2204"/>
      <c r="F9" s="2204"/>
      <c r="G9" s="2204"/>
      <c r="H9" s="2204"/>
      <c r="I9" s="2204"/>
      <c r="J9" s="2204"/>
      <c r="K9" s="2204"/>
      <c r="X9" s="1338"/>
      <c r="Y9" s="2200"/>
      <c r="Z9" s="2200"/>
      <c r="AA9" s="2200"/>
      <c r="AB9" s="2200"/>
      <c r="AD9" s="1343">
        <v>4</v>
      </c>
      <c r="AE9" s="2157" t="str">
        <f>IF(ISNA(VLOOKUP(AD9,$AA$87:$AG$104,2,FALSE))=TRUE,"",VLOOKUP(AD9,$AA$87:$AG$104,2,FALSE))</f>
        <v>Fin de contrats remplacants</v>
      </c>
      <c r="AF9" s="2157"/>
      <c r="AG9" s="2157"/>
      <c r="AH9" s="1346">
        <f>IF(AE9&gt;"",VLOOKUP(AD9,$AA$86:$AE$104,5,FALSE),"")</f>
        <v>9.9150141643059492E-2</v>
      </c>
      <c r="AJ9" s="1351"/>
      <c r="AK9" s="1351"/>
      <c r="AL9" s="1351"/>
      <c r="AM9" s="1351"/>
      <c r="AN9" s="1351"/>
      <c r="AO9" s="1351"/>
      <c r="AP9" s="1351"/>
      <c r="AQ9" s="1351"/>
      <c r="AR9" s="1351"/>
      <c r="AS9" s="1351"/>
      <c r="AT9" s="1351"/>
      <c r="AU9" s="1351"/>
      <c r="AV9" s="1351"/>
      <c r="AX9" s="2178" t="s">
        <v>2655</v>
      </c>
      <c r="AY9" s="2178"/>
      <c r="AZ9" s="2178"/>
      <c r="BA9" s="2169">
        <f>IF($D$69=0," ",SUM('IND 2.1.1'!$F$15:$G$17)/($D$69*365))</f>
        <v>6.2477197276136737E-2</v>
      </c>
      <c r="BB9" s="2169"/>
      <c r="BC9" s="2169">
        <f>IF($D$70=0," ",SUM('IND 2.1.2'!$F$15:$G$17)/($D$70*365))</f>
        <v>3.9014430036417941E-2</v>
      </c>
      <c r="BD9" s="2169"/>
      <c r="BE9" s="2169">
        <f>IF($D$69+$D$70=0," ",SUM('IND 2.1.1'!$F$15:$G$17,'IND 2.1.2'!$F$15:$G$17)/(($D$69+$D$70)*365))</f>
        <v>5.8799249979099737E-2</v>
      </c>
      <c r="BF9" s="2169"/>
      <c r="BG9" s="2169">
        <f>IF($D$71=0," ",SUM('IND 2.1.3'!$F$16:$G$18)/($D$71*365))</f>
        <v>4.6889576275347374E-3</v>
      </c>
      <c r="BH9" s="2169"/>
      <c r="BI9" s="1327"/>
      <c r="BJ9" s="2198"/>
      <c r="BK9" s="2198"/>
      <c r="BL9" s="2198"/>
      <c r="BM9" s="2198"/>
      <c r="BN9" s="2198"/>
      <c r="BO9" s="2198"/>
      <c r="BV9" s="2165"/>
      <c r="BW9" s="2165"/>
      <c r="BX9" s="2165"/>
      <c r="BY9" s="2165"/>
      <c r="BZ9" s="2165"/>
      <c r="CA9" s="2165"/>
      <c r="CB9" s="2165"/>
      <c r="CC9" s="2165"/>
      <c r="CD9" s="2165"/>
      <c r="CE9" s="2165"/>
      <c r="DI9" s="1319"/>
      <c r="GJ9" s="1341">
        <v>40</v>
      </c>
      <c r="GK9" s="1341" t="s">
        <v>2650</v>
      </c>
      <c r="GL9" s="1341" t="s">
        <v>2656</v>
      </c>
      <c r="GO9" s="1349" t="s">
        <v>2657</v>
      </c>
      <c r="GP9" s="1329">
        <f>'IND 1.1.1'!I69</f>
        <v>62</v>
      </c>
      <c r="GQ9" s="1329">
        <f>'IND 1.2.1'!K24</f>
        <v>16</v>
      </c>
      <c r="GR9" s="1330">
        <f t="shared" si="0"/>
        <v>78</v>
      </c>
      <c r="GS9" s="1329">
        <f>RANK(GR9,$GR$1:$GR$58,0)+COUNTIF(GR$1:GR9,GR9)-1</f>
        <v>14</v>
      </c>
      <c r="GT9" s="1329">
        <f t="shared" si="1"/>
        <v>14</v>
      </c>
      <c r="GU9" s="1331">
        <f t="shared" si="2"/>
        <v>1.3600697471665214E-2</v>
      </c>
      <c r="GV9" s="1332" t="str">
        <f t="shared" si="3"/>
        <v>Techniciens</v>
      </c>
      <c r="GW9" s="1332" t="s">
        <v>447</v>
      </c>
      <c r="GX9" s="1333">
        <f t="shared" si="4"/>
        <v>78</v>
      </c>
      <c r="GY9" s="1333">
        <f t="shared" si="5"/>
        <v>62</v>
      </c>
      <c r="GZ9" s="1333">
        <f t="shared" si="5"/>
        <v>16</v>
      </c>
    </row>
    <row r="10" spans="1:208" ht="13.35" customHeight="1">
      <c r="B10" s="2182" t="str">
        <f>IFERROR("Cette synthèse du Rapport sur l'État de la Collectivité reprend les principaux indicateurs du Rapport Social Unique au 31 décembre 2020. Elle a été réalisée via l'application www.bs.donnees-sociales"&amp;" des Centres de Gestion par extraction des données 2020 transmises en 2021 par la collectivité au "&amp;VLOOKUP(VALUE('Page de garde'!$F$8),$GJ$4:$GL$110,3,FALSE)&amp;".","")</f>
        <v>Cette synthèse du Rapport sur l'État de la Collectivité reprend les principaux indicateurs du Rapport Social Unique au 31 décembre 2020. Elle a été réalisée via l'application www.bs.donnees-sociales des Centres de Gestion par extraction des données 2020 transmises en 2021 par la collectivité au Centre de Gestion des Alpes-Maritimes.</v>
      </c>
      <c r="C10" s="2182"/>
      <c r="D10" s="2182"/>
      <c r="E10" s="2182"/>
      <c r="F10" s="2182"/>
      <c r="G10" s="2182"/>
      <c r="H10" s="2182"/>
      <c r="I10" s="2182"/>
      <c r="J10" s="2182"/>
      <c r="K10" s="2182"/>
      <c r="X10" s="1338"/>
      <c r="Y10" s="2183" t="s">
        <v>3001</v>
      </c>
      <c r="Z10" s="2183"/>
      <c r="AA10" s="2183" t="s">
        <v>2990</v>
      </c>
      <c r="AB10" s="2183"/>
      <c r="AD10" s="1352">
        <v>5</v>
      </c>
      <c r="AE10" s="2163" t="str">
        <f>IF(ISNA(VLOOKUP(AD10,$AA$87:$AG$104,2,FALSE))=TRUE,"",VLOOKUP(AD10,$AA$87:$AG$104,2,FALSE))</f>
        <v>Mise en disponibilité</v>
      </c>
      <c r="AF10" s="2163"/>
      <c r="AG10" s="2163"/>
      <c r="AH10" s="1344">
        <f>IF(AE10&gt;"",VLOOKUP(AD10,$AA$86:$AE$104,5,FALSE),"")</f>
        <v>7.3654390934844188E-2</v>
      </c>
      <c r="AJ10" s="2185" t="s">
        <v>2658</v>
      </c>
      <c r="AK10" s="2185"/>
      <c r="AL10" s="2185"/>
      <c r="AM10" s="2185"/>
      <c r="AN10" s="2185"/>
      <c r="AO10" s="2185"/>
      <c r="AP10" s="2186">
        <f>'IND 3.1.1-3.4.3'!B58+'IND 3.1.1-3.4.3'!C58+'IND 3.1.1-3.4.3'!B106+'IND 3.1.1-3.4.3'!C106</f>
        <v>155398410</v>
      </c>
      <c r="AQ10" s="2186"/>
      <c r="AR10" s="2180"/>
      <c r="AS10" s="2181" t="str">
        <f>IF(AS12&lt;2,"Rémunération - emploi non permanent :","Rémunérations des agents sur emploi non permanent :")</f>
        <v>Rémunérations des agents sur emploi non permanent :</v>
      </c>
      <c r="AT10" s="2181"/>
      <c r="AU10" s="2181"/>
      <c r="AV10" s="2181"/>
      <c r="AX10" s="2178"/>
      <c r="AY10" s="2178"/>
      <c r="AZ10" s="2178"/>
      <c r="BA10" s="2170"/>
      <c r="BB10" s="2170"/>
      <c r="BC10" s="2170"/>
      <c r="BD10" s="2170"/>
      <c r="BE10" s="2170"/>
      <c r="BF10" s="2170"/>
      <c r="BG10" s="2170"/>
      <c r="BH10" s="2170"/>
      <c r="BI10" s="1353"/>
      <c r="BV10" s="2165"/>
      <c r="BW10" s="2165"/>
      <c r="BX10" s="2165"/>
      <c r="BY10" s="2165"/>
      <c r="BZ10" s="2165"/>
      <c r="CA10" s="2165"/>
      <c r="CB10" s="2165"/>
      <c r="CC10" s="2165"/>
      <c r="CD10" s="2165"/>
      <c r="CE10" s="2165"/>
      <c r="DI10" s="1319"/>
      <c r="GJ10" s="1341">
        <v>47</v>
      </c>
      <c r="GK10" s="1341" t="s">
        <v>2650</v>
      </c>
      <c r="GL10" s="1341" t="s">
        <v>2659</v>
      </c>
      <c r="GO10" s="1349" t="s">
        <v>1385</v>
      </c>
      <c r="GP10" s="1329">
        <f>'IND 1.1.1'!I74</f>
        <v>438</v>
      </c>
      <c r="GQ10" s="1329">
        <f>'IND 1.2.1'!K25</f>
        <v>3</v>
      </c>
      <c r="GR10" s="1330">
        <f t="shared" si="0"/>
        <v>441</v>
      </c>
      <c r="GS10" s="1329">
        <f>RANK(GR10,$GR$1:$GR$58,0)+COUNTIF(GR$1:GR10,GR10)-1</f>
        <v>4</v>
      </c>
      <c r="GT10" s="1329">
        <f t="shared" si="1"/>
        <v>4</v>
      </c>
      <c r="GU10" s="1331">
        <f t="shared" si="2"/>
        <v>7.6896251089799472E-2</v>
      </c>
      <c r="GV10" s="1332" t="str">
        <f t="shared" si="3"/>
        <v>Agents de maîtrise</v>
      </c>
      <c r="GW10" s="1332" t="s">
        <v>375</v>
      </c>
      <c r="GX10" s="1333">
        <f t="shared" si="4"/>
        <v>441</v>
      </c>
      <c r="GY10" s="1333">
        <f t="shared" si="5"/>
        <v>438</v>
      </c>
      <c r="GZ10" s="1333">
        <f t="shared" si="5"/>
        <v>3</v>
      </c>
    </row>
    <row r="11" spans="1:208" ht="13.35" customHeight="1">
      <c r="B11" s="2182"/>
      <c r="C11" s="2182"/>
      <c r="D11" s="2182"/>
      <c r="E11" s="2182"/>
      <c r="F11" s="2182"/>
      <c r="G11" s="2182"/>
      <c r="H11" s="2182"/>
      <c r="I11" s="2182"/>
      <c r="J11" s="2182"/>
      <c r="K11" s="2182"/>
      <c r="X11" s="1338"/>
      <c r="Y11" s="2184"/>
      <c r="Z11" s="2184"/>
      <c r="AA11" s="2184"/>
      <c r="AB11" s="2184"/>
      <c r="AC11" s="1354"/>
      <c r="AD11" s="1355"/>
      <c r="AE11" s="1355"/>
      <c r="AF11" s="1355"/>
      <c r="AG11" s="1355"/>
      <c r="AH11" s="1355"/>
      <c r="AJ11" s="2185"/>
      <c r="AK11" s="2185"/>
      <c r="AL11" s="2185"/>
      <c r="AM11" s="2185"/>
      <c r="AN11" s="2185"/>
      <c r="AO11" s="2185"/>
      <c r="AP11" s="2186"/>
      <c r="AQ11" s="2186"/>
      <c r="AR11" s="2180"/>
      <c r="AS11" s="2181"/>
      <c r="AT11" s="2181"/>
      <c r="AU11" s="2181"/>
      <c r="AV11" s="2181"/>
      <c r="AX11" s="2178"/>
      <c r="AY11" s="2178"/>
      <c r="AZ11" s="2178"/>
      <c r="BA11" s="2158">
        <f>BA9</f>
        <v>6.2477197276136737E-2</v>
      </c>
      <c r="BB11" s="2158"/>
      <c r="BC11" s="2158">
        <f>BC9</f>
        <v>3.9014430036417941E-2</v>
      </c>
      <c r="BD11" s="2158"/>
      <c r="BE11" s="2158">
        <f>BE9</f>
        <v>5.8799249979099737E-2</v>
      </c>
      <c r="BF11" s="2158"/>
      <c r="BG11" s="2158">
        <f>BG9</f>
        <v>4.6889576275347374E-3</v>
      </c>
      <c r="BH11" s="2158"/>
      <c r="BI11" s="1353"/>
      <c r="BV11" s="2165"/>
      <c r="BW11" s="2165"/>
      <c r="BX11" s="2165"/>
      <c r="BY11" s="2165"/>
      <c r="BZ11" s="2165"/>
      <c r="CA11" s="2165"/>
      <c r="CB11" s="2165"/>
      <c r="CC11" s="2165"/>
      <c r="CD11" s="2165"/>
      <c r="CE11" s="2165"/>
      <c r="DI11" s="1319"/>
      <c r="GJ11" s="1356">
        <v>64</v>
      </c>
      <c r="GK11" s="1341" t="s">
        <v>2650</v>
      </c>
      <c r="GL11" s="1341" t="s">
        <v>2660</v>
      </c>
      <c r="GO11" s="1349" t="s">
        <v>1166</v>
      </c>
      <c r="GP11" s="1329">
        <f>'IND 1.1.1'!I81</f>
        <v>1570</v>
      </c>
      <c r="GQ11" s="1329">
        <f>'IND 1.2.1'!K26</f>
        <v>276</v>
      </c>
      <c r="GR11" s="1330">
        <f t="shared" si="0"/>
        <v>1846</v>
      </c>
      <c r="GS11" s="1329">
        <f>RANK(GR11,$GR$1:$GR$58,0)+COUNTIF(GR$1:GR11,GR11)-1</f>
        <v>1</v>
      </c>
      <c r="GT11" s="1329">
        <f t="shared" si="1"/>
        <v>1</v>
      </c>
      <c r="GU11" s="1331">
        <f t="shared" si="2"/>
        <v>0.3218831734960767</v>
      </c>
      <c r="GV11" s="1332" t="str">
        <f t="shared" si="3"/>
        <v>Adjoints techniques</v>
      </c>
      <c r="GW11" s="1332" t="s">
        <v>375</v>
      </c>
      <c r="GX11" s="1333">
        <f t="shared" si="4"/>
        <v>1846</v>
      </c>
      <c r="GY11" s="1333">
        <f t="shared" si="5"/>
        <v>1570</v>
      </c>
      <c r="GZ11" s="1333">
        <f t="shared" si="5"/>
        <v>276</v>
      </c>
    </row>
    <row r="12" spans="1:208" ht="13.35" customHeight="1">
      <c r="B12" s="2182"/>
      <c r="C12" s="2182"/>
      <c r="D12" s="2182"/>
      <c r="E12" s="2182"/>
      <c r="F12" s="2182"/>
      <c r="G12" s="2182"/>
      <c r="H12" s="2182"/>
      <c r="I12" s="2182"/>
      <c r="J12" s="2182"/>
      <c r="K12" s="2182"/>
      <c r="X12" s="1338"/>
      <c r="Y12" s="2187" t="str">
        <f>IF(Z140&lt; 2, TEXT(Z140, "# ##0") &amp; " agent",TEXT(Z140, "# ##0") &amp; " agents")</f>
        <v>5 741 agents</v>
      </c>
      <c r="Z12" s="2187"/>
      <c r="AA12" s="2187" t="str">
        <f>IF(D69+D70&lt; 2, TEXT(D69+D70, "# ##0") &amp; " agent",TEXT(D69+D70, "# ##0") &amp; " agents")</f>
        <v>5 735 agents</v>
      </c>
      <c r="AB12" s="2187"/>
      <c r="AJ12" s="2166" t="s">
        <v>2661</v>
      </c>
      <c r="AK12" s="2166"/>
      <c r="AL12" s="2166"/>
      <c r="AM12" s="2166"/>
      <c r="AN12" s="2166"/>
      <c r="AO12" s="2166"/>
      <c r="AP12" s="2167">
        <f>'IND 3.1.1-3.4.3'!D58+'IND 3.1.1-3.4.3'!E58+'IND 3.1.1-3.4.3'!D106+'IND 3.1.1-3.4.3'!E106</f>
        <v>29002483</v>
      </c>
      <c r="AQ12" s="2167"/>
      <c r="AR12" s="1357"/>
      <c r="AS12" s="2177">
        <f>'IND 3.1.1-3.4.3'!D122+'IND 3.1.1-3.4.3'!E122</f>
        <v>11069222</v>
      </c>
      <c r="AT12" s="2177"/>
      <c r="AU12" s="2177"/>
      <c r="AV12" s="2177"/>
      <c r="AX12" s="2178" t="s">
        <v>2662</v>
      </c>
      <c r="AY12" s="2178"/>
      <c r="AZ12" s="2178"/>
      <c r="BA12" s="2169">
        <f>IF($D$69=0," ",SUM('IND 2.1.1'!$F$15:$G$20)/($D$69*365))</f>
        <v>9.6341933217761758E-2</v>
      </c>
      <c r="BB12" s="2169"/>
      <c r="BC12" s="2169">
        <f>IF($D$70=0," ",SUM('IND 2.1.2'!$F$15:$G$20)/($D$70*365))</f>
        <v>3.9425846069453124E-2</v>
      </c>
      <c r="BD12" s="2169"/>
      <c r="BE12" s="2169">
        <f>IF($D$69+$D$70=0," ",SUM('IND 2.1.1'!$F$15:$G$20,'IND 2.1.2'!$F$15:$G$20)/(($D$69+$D$70)*365))</f>
        <v>8.7419951989107972E-2</v>
      </c>
      <c r="BF12" s="2169"/>
      <c r="BG12" s="2169">
        <f>IF($D$71=0," ",SUM('IND 2.1.3'!$F$16:$G$21)/($D$71*365))</f>
        <v>4.6889576275347374E-3</v>
      </c>
      <c r="BH12" s="2169"/>
      <c r="BI12" s="1358"/>
      <c r="BM12" s="1359"/>
      <c r="BV12" s="2165"/>
      <c r="BW12" s="2165"/>
      <c r="BX12" s="2165"/>
      <c r="BY12" s="2165"/>
      <c r="BZ12" s="2165"/>
      <c r="CA12" s="2165"/>
      <c r="CB12" s="2165"/>
      <c r="CC12" s="2165"/>
      <c r="CD12" s="2165"/>
      <c r="CE12" s="2165"/>
      <c r="DI12" s="1319"/>
      <c r="GJ12" s="1341">
        <v>3</v>
      </c>
      <c r="GK12" s="1341" t="s">
        <v>2663</v>
      </c>
      <c r="GL12" s="1341" t="s">
        <v>2664</v>
      </c>
      <c r="GO12" s="1349" t="s">
        <v>1310</v>
      </c>
      <c r="GP12" s="1329">
        <f>'IND 1.1.1'!I88</f>
        <v>0</v>
      </c>
      <c r="GQ12" s="1329">
        <f>'IND 1.2.1'!K27</f>
        <v>0</v>
      </c>
      <c r="GR12" s="1330">
        <f t="shared" si="0"/>
        <v>0</v>
      </c>
      <c r="GS12" s="1329">
        <f>RANK(GR12,$GR$1:$GR$58,0)+COUNTIF(GR$1:GR12,GR12)-1</f>
        <v>38</v>
      </c>
      <c r="GT12" s="1329">
        <f t="shared" si="1"/>
        <v>38</v>
      </c>
      <c r="GU12" s="1331">
        <f t="shared" si="2"/>
        <v>0</v>
      </c>
      <c r="GV12" s="1332" t="str">
        <f t="shared" si="3"/>
        <v>Adjoints techniques des établissements d'enseignement</v>
      </c>
      <c r="GW12" s="1332" t="s">
        <v>375</v>
      </c>
      <c r="GX12" s="1333">
        <f t="shared" si="4"/>
        <v>0</v>
      </c>
      <c r="GY12" s="1333">
        <f t="shared" si="5"/>
        <v>0</v>
      </c>
      <c r="GZ12" s="1333">
        <f t="shared" si="5"/>
        <v>0</v>
      </c>
    </row>
    <row r="13" spans="1:208" ht="13.35" customHeight="1">
      <c r="B13" s="2182"/>
      <c r="C13" s="2182"/>
      <c r="D13" s="2182"/>
      <c r="E13" s="2182"/>
      <c r="F13" s="2182"/>
      <c r="G13" s="2182"/>
      <c r="H13" s="2182"/>
      <c r="I13" s="2182"/>
      <c r="J13" s="2182"/>
      <c r="K13" s="2182"/>
      <c r="X13" s="1338"/>
      <c r="Y13" s="2188"/>
      <c r="Z13" s="2188"/>
      <c r="AA13" s="2188"/>
      <c r="AB13" s="2188"/>
      <c r="AD13" s="1378" t="s">
        <v>2640</v>
      </c>
      <c r="AE13" s="2064" t="str">
        <f>IF(AF126+AG126=0, "Aucune arrivée d'agent permanent en 2020", "Principaux modes d'arrivée d'agents permanents")</f>
        <v>Principaux modes d'arrivée d'agents permanents</v>
      </c>
      <c r="AF13" s="2064"/>
      <c r="AG13" s="2064"/>
      <c r="AH13" s="2064"/>
      <c r="AJ13" s="2166" t="s">
        <v>2665</v>
      </c>
      <c r="AK13" s="2166"/>
      <c r="AL13" s="2166"/>
      <c r="AM13" s="2166"/>
      <c r="AN13" s="2166"/>
      <c r="AO13" s="2166"/>
      <c r="AP13" s="2167">
        <f>'IND 3.1.1-3.4.3'!$H$58+'IND 3.1.1-3.4.3'!$I$58+'IND 3.1.1-3.4.3'!$F$106+'IND 3.1.1-3.4.3'!$G$106</f>
        <v>3211879</v>
      </c>
      <c r="AQ13" s="2167"/>
      <c r="AR13" s="1357"/>
      <c r="AS13" s="2177"/>
      <c r="AT13" s="2177"/>
      <c r="AU13" s="2177"/>
      <c r="AV13" s="2177"/>
      <c r="AX13" s="2178"/>
      <c r="AY13" s="2178"/>
      <c r="AZ13" s="2178"/>
      <c r="BA13" s="2170"/>
      <c r="BB13" s="2170"/>
      <c r="BC13" s="2170"/>
      <c r="BD13" s="2170"/>
      <c r="BE13" s="2170"/>
      <c r="BF13" s="2170"/>
      <c r="BG13" s="2170"/>
      <c r="BH13" s="2170"/>
      <c r="BI13" s="1358"/>
      <c r="DI13" s="1319"/>
      <c r="GJ13" s="1341">
        <v>15</v>
      </c>
      <c r="GK13" s="1341" t="s">
        <v>2663</v>
      </c>
      <c r="GL13" s="1341" t="s">
        <v>2666</v>
      </c>
      <c r="GO13" s="1360" t="s">
        <v>1311</v>
      </c>
      <c r="GP13" s="1329">
        <f>'IND 1.1.1'!I96</f>
        <v>0</v>
      </c>
      <c r="GQ13" s="1329">
        <f>'IND 1.2.1'!K30</f>
        <v>0</v>
      </c>
      <c r="GR13" s="1330">
        <f t="shared" si="0"/>
        <v>0</v>
      </c>
      <c r="GS13" s="1329">
        <f>RANK(GR13,$GR$1:$GR$58,0)+COUNTIF(GR$1:GR13,GR13)-1</f>
        <v>39</v>
      </c>
      <c r="GT13" s="1329">
        <f t="shared" si="1"/>
        <v>39</v>
      </c>
      <c r="GU13" s="1331">
        <f t="shared" si="2"/>
        <v>0</v>
      </c>
      <c r="GV13" s="1332" t="str">
        <f t="shared" si="3"/>
        <v>Conservateurs du patrimoine</v>
      </c>
      <c r="GW13" s="1332" t="s">
        <v>1852</v>
      </c>
      <c r="GX13" s="1333">
        <f t="shared" si="4"/>
        <v>0</v>
      </c>
      <c r="GY13" s="1333">
        <f t="shared" si="5"/>
        <v>0</v>
      </c>
      <c r="GZ13" s="1333">
        <f t="shared" si="5"/>
        <v>0</v>
      </c>
    </row>
    <row r="14" spans="1:208" ht="13.35" customHeight="1">
      <c r="B14" s="2182"/>
      <c r="C14" s="2182"/>
      <c r="D14" s="2182"/>
      <c r="E14" s="2182"/>
      <c r="F14" s="2182"/>
      <c r="G14" s="2182"/>
      <c r="H14" s="2182"/>
      <c r="I14" s="2182"/>
      <c r="J14" s="2182"/>
      <c r="K14" s="2182"/>
      <c r="X14" s="1338"/>
      <c r="AA14" s="2179" t="s">
        <v>2667</v>
      </c>
      <c r="AB14" s="2179"/>
      <c r="AE14" s="2064"/>
      <c r="AF14" s="2064"/>
      <c r="AG14" s="2064"/>
      <c r="AH14" s="2064"/>
      <c r="AJ14" s="2166" t="s">
        <v>2668</v>
      </c>
      <c r="AK14" s="2166"/>
      <c r="AL14" s="2166"/>
      <c r="AM14" s="2166"/>
      <c r="AN14" s="2166"/>
      <c r="AO14" s="2166"/>
      <c r="AP14" s="2167">
        <f>'IND 3.1.1-3.4.3'!F58+'IND 3.1.1-3.4.3'!G58</f>
        <v>1789527</v>
      </c>
      <c r="AQ14" s="2167"/>
      <c r="AR14" s="1357"/>
      <c r="AS14" s="1361"/>
      <c r="AX14" s="2178"/>
      <c r="AY14" s="2178"/>
      <c r="AZ14" s="2178"/>
      <c r="BA14" s="2158">
        <f>BA12</f>
        <v>9.6341933217761758E-2</v>
      </c>
      <c r="BB14" s="2158"/>
      <c r="BC14" s="2158">
        <f>BC12</f>
        <v>3.9425846069453124E-2</v>
      </c>
      <c r="BD14" s="2158"/>
      <c r="BE14" s="2158">
        <f>BE12</f>
        <v>8.7419951989107972E-2</v>
      </c>
      <c r="BF14" s="2158"/>
      <c r="BG14" s="2158">
        <f>BG12</f>
        <v>4.6889576275347374E-3</v>
      </c>
      <c r="BH14" s="2158"/>
      <c r="BI14" s="1362"/>
      <c r="BV14" s="2164" t="s">
        <v>2994</v>
      </c>
      <c r="BW14" s="2165"/>
      <c r="BX14" s="2165"/>
      <c r="BY14" s="2165"/>
      <c r="BZ14" s="2165"/>
      <c r="CA14" s="2165"/>
      <c r="CB14" s="2165"/>
      <c r="CC14" s="2165"/>
      <c r="CD14" s="2165"/>
      <c r="CE14" s="2165"/>
      <c r="DI14" s="1319"/>
      <c r="GJ14" s="1341">
        <v>43</v>
      </c>
      <c r="GK14" s="1341" t="s">
        <v>2663</v>
      </c>
      <c r="GL14" s="1341" t="s">
        <v>2669</v>
      </c>
      <c r="GO14" s="1360" t="s">
        <v>1312</v>
      </c>
      <c r="GP14" s="1329">
        <f>'IND 1.1.1'!I101</f>
        <v>2</v>
      </c>
      <c r="GQ14" s="1329">
        <f>'IND 1.2.1'!K31</f>
        <v>0</v>
      </c>
      <c r="GR14" s="1330">
        <f t="shared" si="0"/>
        <v>2</v>
      </c>
      <c r="GS14" s="1329">
        <f>RANK(GR14,$GR$1:$GR$58,0)+COUNTIF(GR$1:GR14,GR14)-1</f>
        <v>32</v>
      </c>
      <c r="GT14" s="1329">
        <f t="shared" si="1"/>
        <v>32</v>
      </c>
      <c r="GU14" s="1331">
        <f t="shared" si="2"/>
        <v>3.4873583260680037E-4</v>
      </c>
      <c r="GV14" s="1332" t="str">
        <f t="shared" si="3"/>
        <v>Conservateurs des bibliothèques</v>
      </c>
      <c r="GW14" s="1332" t="s">
        <v>1852</v>
      </c>
      <c r="GX14" s="1333">
        <f t="shared" si="4"/>
        <v>2</v>
      </c>
      <c r="GY14" s="1333">
        <f t="shared" si="5"/>
        <v>2</v>
      </c>
      <c r="GZ14" s="1333">
        <f t="shared" si="5"/>
        <v>0</v>
      </c>
    </row>
    <row r="15" spans="1:208" ht="13.35" customHeight="1" thickBot="1">
      <c r="A15" s="1316"/>
      <c r="B15" s="1316"/>
      <c r="C15" s="1316"/>
      <c r="D15" s="1316"/>
      <c r="E15" s="1316"/>
      <c r="F15" s="1316"/>
      <c r="G15" s="1316"/>
      <c r="H15" s="1316"/>
      <c r="I15" s="1316"/>
      <c r="J15" s="1316"/>
      <c r="K15" s="1316"/>
      <c r="L15" s="1378" t="str">
        <f>IF(M15="","","Æ")</f>
        <v>Æ</v>
      </c>
      <c r="M15" s="2065" t="str">
        <f>IF(SUM(V72:W72)=0,"",IF(L20="","La filière la plus concernée par le temps non complet",IF(L21="","Les 2 filières les plus concernées par le temps non complet","Les 3 filières les plus concernées par le temps non complet")))</f>
        <v>Les 3 filières les plus concernées par le temps non complet</v>
      </c>
      <c r="N15" s="2065"/>
      <c r="O15" s="2065"/>
      <c r="P15" s="2065"/>
      <c r="Q15" s="2065"/>
      <c r="R15" s="1378" t="str">
        <f>IF(S15="","","Æ")</f>
        <v>Æ</v>
      </c>
      <c r="S15" s="2065" t="str">
        <f>IF(SUM(V73:W73)=0,"","Part des agents permanents à temps partiel selon le genre")</f>
        <v>Part des agents permanents à temps partiel selon le genre</v>
      </c>
      <c r="T15" s="2065"/>
      <c r="U15" s="2065"/>
      <c r="V15" s="2065"/>
      <c r="W15" s="2065"/>
      <c r="X15" s="1338"/>
      <c r="AE15" s="2064"/>
      <c r="AF15" s="2064"/>
      <c r="AG15" s="2064"/>
      <c r="AH15" s="2064"/>
      <c r="AJ15" s="2166" t="s">
        <v>2670</v>
      </c>
      <c r="AK15" s="2166"/>
      <c r="AL15" s="2166"/>
      <c r="AM15" s="2166"/>
      <c r="AN15" s="2166"/>
      <c r="AO15" s="2166"/>
      <c r="AP15" s="2167">
        <f>'IND 3.1.1-3.4.3'!J58+'IND 3.1.1-3.4.3'!K58</f>
        <v>978295</v>
      </c>
      <c r="AQ15" s="2167"/>
      <c r="AR15" s="1357"/>
      <c r="AS15" s="1361"/>
      <c r="AX15" s="2168" t="s">
        <v>2671</v>
      </c>
      <c r="AY15" s="2168"/>
      <c r="AZ15" s="2168"/>
      <c r="BA15" s="2169">
        <f>IF($D$69=0," ",SUM('IND 2.1.1'!$F$15:$G$23)/($D$69*365))</f>
        <v>0.17174586718333956</v>
      </c>
      <c r="BB15" s="2169"/>
      <c r="BC15" s="2169">
        <f>IF($D$70=0," ",SUM('IND 2.1.2'!$F$15:$G$23)/($D$70*365))</f>
        <v>0.16269523214530604</v>
      </c>
      <c r="BD15" s="2169"/>
      <c r="BE15" s="2169">
        <f>IF($D$69+$D$70=0," ",SUM('IND 2.1.1'!$F$15:$G$23,'IND 2.1.2'!$F$15:$G$23)/(($D$69+$D$70)*365))</f>
        <v>0.17032711898818836</v>
      </c>
      <c r="BF15" s="2169"/>
      <c r="BG15" s="2169">
        <f>IF($D$71=0," ",SUM('IND 2.1.3'!$F$16:$G$24)/($D$71*365))</f>
        <v>6.8264021865435918E-3</v>
      </c>
      <c r="BH15" s="2169"/>
      <c r="BI15" s="1362"/>
      <c r="BO15" s="1353"/>
      <c r="BP15" s="1353"/>
      <c r="BV15" s="2165"/>
      <c r="BW15" s="2165"/>
      <c r="BX15" s="2165"/>
      <c r="BY15" s="2165"/>
      <c r="BZ15" s="2165"/>
      <c r="CA15" s="2165"/>
      <c r="CB15" s="2165"/>
      <c r="CC15" s="2165"/>
      <c r="CD15" s="2165"/>
      <c r="CE15" s="2165"/>
      <c r="DI15" s="1319"/>
      <c r="GJ15" s="1341">
        <v>63</v>
      </c>
      <c r="GK15" s="1341" t="s">
        <v>2663</v>
      </c>
      <c r="GL15" s="1341" t="s">
        <v>2672</v>
      </c>
      <c r="GO15" s="1360" t="s">
        <v>1313</v>
      </c>
      <c r="GP15" s="1329">
        <f>'IND 1.1.1'!I106</f>
        <v>5</v>
      </c>
      <c r="GQ15" s="1329">
        <f>'IND 1.2.1'!K32</f>
        <v>1</v>
      </c>
      <c r="GR15" s="1330">
        <f t="shared" si="0"/>
        <v>6</v>
      </c>
      <c r="GS15" s="1329">
        <f>RANK(GR15,$GR$1:$GR$58,0)+COUNTIF(GR$1:GR15,GR15)-1</f>
        <v>27</v>
      </c>
      <c r="GT15" s="1329">
        <f t="shared" si="1"/>
        <v>27</v>
      </c>
      <c r="GU15" s="1331">
        <f t="shared" si="2"/>
        <v>1.046207497820401E-3</v>
      </c>
      <c r="GV15" s="1332" t="str">
        <f t="shared" si="3"/>
        <v>Attachés de conservation du patrimoine</v>
      </c>
      <c r="GW15" s="1332" t="s">
        <v>1852</v>
      </c>
      <c r="GX15" s="1333">
        <f t="shared" si="4"/>
        <v>6</v>
      </c>
      <c r="GY15" s="1333">
        <f t="shared" si="5"/>
        <v>5</v>
      </c>
      <c r="GZ15" s="1333">
        <f t="shared" si="5"/>
        <v>1</v>
      </c>
    </row>
    <row r="16" spans="1:208" ht="13.35" customHeight="1">
      <c r="A16" s="1325"/>
      <c r="B16" s="1325"/>
      <c r="C16" s="1325"/>
      <c r="D16" s="1325"/>
      <c r="E16" s="1325"/>
      <c r="F16" s="1325"/>
      <c r="G16" s="1325"/>
      <c r="H16" s="1325"/>
      <c r="I16" s="1325"/>
      <c r="J16" s="1325"/>
      <c r="K16" s="1325"/>
      <c r="M16" s="2065"/>
      <c r="N16" s="2065"/>
      <c r="O16" s="2065"/>
      <c r="P16" s="2065"/>
      <c r="Q16" s="2065"/>
      <c r="S16" s="2065"/>
      <c r="T16" s="2065"/>
      <c r="U16" s="2065"/>
      <c r="V16" s="2065"/>
      <c r="W16" s="2065"/>
      <c r="X16" s="1338"/>
      <c r="Y16" s="2136" t="s">
        <v>2673</v>
      </c>
      <c r="Z16" s="2136"/>
      <c r="AA16" s="2136"/>
      <c r="AB16" s="2136"/>
      <c r="AD16" s="1343">
        <v>1</v>
      </c>
      <c r="AE16" s="2173" t="str">
        <f>IF(ISNA(VLOOKUP(AD16,$AA$115:$AB$125,2,FALSE))=TRUE,"",VLOOKUP(AD16,$AA$115:$AB$125,2,FALSE))</f>
        <v>Arrivées de contractuels</v>
      </c>
      <c r="AF16" s="2173"/>
      <c r="AG16" s="2173"/>
      <c r="AH16" s="1344">
        <f>IF(AE16&gt;"",VLOOKUP(AE16,$AB$115:$AE$124,4,FALSE),"")</f>
        <v>0.5389048991354467</v>
      </c>
      <c r="AJ16" s="2166" t="s">
        <v>2674</v>
      </c>
      <c r="AK16" s="2166"/>
      <c r="AL16" s="2166"/>
      <c r="AM16" s="2166"/>
      <c r="AN16" s="2166"/>
      <c r="AO16" s="2166"/>
      <c r="AP16" s="2167">
        <f>'IND 3.1.1-3.4.3'!L58+'IND 3.1.1-3.4.3'!M58</f>
        <v>1040152</v>
      </c>
      <c r="AQ16" s="2167"/>
      <c r="AR16" s="1357"/>
      <c r="AS16" s="1361"/>
      <c r="AX16" s="2168"/>
      <c r="AY16" s="2168"/>
      <c r="AZ16" s="2168"/>
      <c r="BA16" s="2170"/>
      <c r="BB16" s="2170"/>
      <c r="BC16" s="2170"/>
      <c r="BD16" s="2170"/>
      <c r="BE16" s="2170"/>
      <c r="BF16" s="2170"/>
      <c r="BG16" s="2170"/>
      <c r="BH16" s="2170"/>
      <c r="BO16" s="1353"/>
      <c r="BP16" s="1353"/>
      <c r="BQ16" s="2175" t="str">
        <f>IF('IND 5.1.1'!$F$15=0,"","Nombre moyen de jours de formation" &amp; CHAR(10) &amp; "par agent permanent : ")</f>
        <v xml:space="preserve">Nombre moyen de jours de formation
par agent permanent : </v>
      </c>
      <c r="BR16" s="2175"/>
      <c r="BS16" s="2175"/>
      <c r="BT16" s="2175"/>
      <c r="BV16" s="2165"/>
      <c r="BW16" s="2165"/>
      <c r="BX16" s="2165"/>
      <c r="BY16" s="2165"/>
      <c r="BZ16" s="2165"/>
      <c r="CA16" s="2165"/>
      <c r="CB16" s="2165"/>
      <c r="CC16" s="2165"/>
      <c r="CD16" s="2165"/>
      <c r="CE16" s="2165"/>
      <c r="DI16" s="1319"/>
      <c r="GJ16" s="1341">
        <v>14</v>
      </c>
      <c r="GK16" s="1341" t="s">
        <v>2675</v>
      </c>
      <c r="GL16" s="1341" t="s">
        <v>2676</v>
      </c>
      <c r="GO16" s="1360" t="s">
        <v>1314</v>
      </c>
      <c r="GP16" s="1329">
        <f>'IND 1.1.1'!I111</f>
        <v>9</v>
      </c>
      <c r="GQ16" s="1329">
        <f>'IND 1.2.1'!K33</f>
        <v>0</v>
      </c>
      <c r="GR16" s="1330">
        <f t="shared" si="0"/>
        <v>9</v>
      </c>
      <c r="GS16" s="1329">
        <f>RANK(GR16,$GR$1:$GR$58,0)+COUNTIF(GR$1:GR16,GR16)-1</f>
        <v>26</v>
      </c>
      <c r="GT16" s="1329">
        <f t="shared" si="1"/>
        <v>26</v>
      </c>
      <c r="GU16" s="1331">
        <f t="shared" si="2"/>
        <v>1.5693112467306015E-3</v>
      </c>
      <c r="GV16" s="1332" t="str">
        <f t="shared" si="3"/>
        <v>Bibliothécaires</v>
      </c>
      <c r="GW16" s="1332" t="s">
        <v>1852</v>
      </c>
      <c r="GX16" s="1333">
        <f t="shared" si="4"/>
        <v>9</v>
      </c>
      <c r="GY16" s="1333">
        <f t="shared" si="5"/>
        <v>9</v>
      </c>
      <c r="GZ16" s="1333">
        <f t="shared" si="5"/>
        <v>0</v>
      </c>
    </row>
    <row r="17" spans="1:208" ht="13.35" customHeight="1">
      <c r="A17" s="1363" t="s">
        <v>2640</v>
      </c>
      <c r="B17" s="2155" t="str">
        <f>IF(D69+D70+D71=0,"Aucun agent employé par la collectivité au 31 décembre 2020",IF(D69+D70+D71&lt;2,D69+D70+D71&amp;" agent employé par la collectivité au 31 décembre 2020",TEXT(D69+D70+D71,"# ##0")&amp;" agents employés par la collectivité au 31 décembre 2020"))</f>
        <v>7 409 agents employés par la collectivité au 31 décembre 2020</v>
      </c>
      <c r="C17" s="2155"/>
      <c r="D17" s="2155"/>
      <c r="E17" s="2155"/>
      <c r="F17" s="2155"/>
      <c r="M17" s="2065"/>
      <c r="N17" s="2065"/>
      <c r="O17" s="2065"/>
      <c r="P17" s="2065"/>
      <c r="Q17" s="2065"/>
      <c r="S17" s="2065"/>
      <c r="T17" s="2065"/>
      <c r="U17" s="2065"/>
      <c r="V17" s="2065"/>
      <c r="W17" s="2065"/>
      <c r="X17" s="1338"/>
      <c r="Y17" s="2156" t="s">
        <v>2992</v>
      </c>
      <c r="Z17" s="2156"/>
      <c r="AA17" s="2156"/>
      <c r="AB17" s="2156"/>
      <c r="AD17" s="1343">
        <v>2</v>
      </c>
      <c r="AE17" s="2157" t="str">
        <f>IF(ISNA(VLOOKUP(AD17,$AA$115:$AB$125,2,FALSE))=TRUE,"",VLOOKUP(AD17,$AA$115:$AB$125,2,FALSE))</f>
        <v>Réintégration et retour</v>
      </c>
      <c r="AF17" s="2157"/>
      <c r="AG17" s="2157"/>
      <c r="AH17" s="1346">
        <f>IF(AE17&gt;"",VLOOKUP(AE17,$AB$115:$AE$124,4,FALSE),"")</f>
        <v>0.16426512968299711</v>
      </c>
      <c r="AX17" s="2168"/>
      <c r="AY17" s="2168"/>
      <c r="AZ17" s="2168"/>
      <c r="BA17" s="2158">
        <f>BA15</f>
        <v>0.17174586718333956</v>
      </c>
      <c r="BB17" s="2158"/>
      <c r="BC17" s="2158">
        <f>BC15</f>
        <v>0.16269523214530604</v>
      </c>
      <c r="BD17" s="2158"/>
      <c r="BE17" s="2158">
        <f>BE15</f>
        <v>0.17032711898818836</v>
      </c>
      <c r="BF17" s="2158"/>
      <c r="BG17" s="2158">
        <f>BG15</f>
        <v>6.8264021865435918E-3</v>
      </c>
      <c r="BH17" s="2158"/>
      <c r="BO17" s="1364"/>
      <c r="BP17" s="1364"/>
      <c r="BQ17" s="2175"/>
      <c r="BR17" s="2175"/>
      <c r="BS17" s="2175"/>
      <c r="BT17" s="2175"/>
      <c r="CH17" s="1319"/>
      <c r="DI17" s="1319"/>
      <c r="GJ17" s="1341">
        <v>61</v>
      </c>
      <c r="GK17" s="1341" t="s">
        <v>2675</v>
      </c>
      <c r="GL17" s="1341" t="s">
        <v>2677</v>
      </c>
      <c r="GO17" s="1360" t="s">
        <v>751</v>
      </c>
      <c r="GP17" s="1329">
        <f>'IND 1.1.1'!I117</f>
        <v>1</v>
      </c>
      <c r="GQ17" s="1329">
        <f>'IND 1.2.1'!K34</f>
        <v>0</v>
      </c>
      <c r="GR17" s="1330">
        <f t="shared" si="0"/>
        <v>1</v>
      </c>
      <c r="GS17" s="1329">
        <f>RANK(GR17,$GR$1:$GR$58,0)+COUNTIF(GR$1:GR17,GR17)-1</f>
        <v>35</v>
      </c>
      <c r="GT17" s="1329">
        <f t="shared" si="1"/>
        <v>35</v>
      </c>
      <c r="GU17" s="1331">
        <f t="shared" si="2"/>
        <v>1.7436791630340019E-4</v>
      </c>
      <c r="GV17" s="1332" t="str">
        <f t="shared" si="3"/>
        <v>Directeurs d'établissements d'enseignement artistique</v>
      </c>
      <c r="GW17" s="1332" t="s">
        <v>1852</v>
      </c>
      <c r="GX17" s="1333">
        <f t="shared" si="4"/>
        <v>1</v>
      </c>
      <c r="GY17" s="1333">
        <f t="shared" si="5"/>
        <v>1</v>
      </c>
      <c r="GZ17" s="1333">
        <f t="shared" si="5"/>
        <v>0</v>
      </c>
    </row>
    <row r="18" spans="1:208" ht="13.35" customHeight="1">
      <c r="B18" s="2155"/>
      <c r="C18" s="2155"/>
      <c r="D18" s="2155"/>
      <c r="E18" s="2155"/>
      <c r="F18" s="2155"/>
      <c r="L18" s="2159" t="str">
        <f>IF(M15="","","Filière")</f>
        <v>Filière</v>
      </c>
      <c r="M18" s="2159"/>
      <c r="N18" s="2159" t="str">
        <f>IF(M15="","",IF(D69=0,"","Fonctionnaires"))</f>
        <v>Fonctionnaires</v>
      </c>
      <c r="O18" s="2159"/>
      <c r="P18" s="2159" t="str">
        <f>IF(M15="","",IF(D70=0,"","Contractuels"))</f>
        <v>Contractuels</v>
      </c>
      <c r="Q18" s="2159"/>
      <c r="X18" s="1338"/>
      <c r="Y18" s="2151" t="str">
        <f>IF(D69&lt;2,"Fonctionnaire","Fonctionnaires")</f>
        <v>Fonctionnaires</v>
      </c>
      <c r="Z18" s="2151"/>
      <c r="AA18" s="2171" t="str">
        <f>IF($AB$18="","",IF(AB18&gt;0%,"æ",IF(AB18&lt;0,"è","â")))</f>
        <v>æ</v>
      </c>
      <c r="AB18" s="2161">
        <f>AH142</f>
        <v>1.724863273033235E-2</v>
      </c>
      <c r="AC18" s="1365"/>
      <c r="AD18" s="1343">
        <v>3</v>
      </c>
      <c r="AE18" s="2173" t="str">
        <f>IF(ISNA(VLOOKUP(AD18,$AA$115:$AB$125,2,FALSE))=TRUE,"",VLOOKUP(AD18,$AA$115:$AB$125,2,FALSE))</f>
        <v>Recrutement direct</v>
      </c>
      <c r="AF18" s="2173"/>
      <c r="AG18" s="2173"/>
      <c r="AH18" s="1344">
        <f>IF(AE18&gt;"",VLOOKUP(AE18,$AB$115:$AE$124,4,FALSE),"")</f>
        <v>0.14697406340057637</v>
      </c>
      <c r="AX18" s="2174" t="s">
        <v>2678</v>
      </c>
      <c r="AY18" s="2174"/>
      <c r="AZ18" s="2174"/>
      <c r="BA18" s="2174"/>
      <c r="BB18" s="2174"/>
      <c r="BC18" s="2174"/>
      <c r="BD18" s="2174"/>
      <c r="BE18" s="2174"/>
      <c r="BF18" s="2174"/>
      <c r="BG18" s="2174"/>
      <c r="BH18" s="2174"/>
      <c r="BQ18" s="2175"/>
      <c r="BR18" s="2175"/>
      <c r="BS18" s="2175"/>
      <c r="BT18" s="2175"/>
      <c r="BU18" s="1334" t="s">
        <v>2640</v>
      </c>
      <c r="BV18" s="1337" t="s">
        <v>2679</v>
      </c>
      <c r="BW18" s="1366"/>
      <c r="BX18" s="1366"/>
      <c r="BY18" s="1366"/>
      <c r="BZ18" s="1366"/>
      <c r="CA18" s="1366"/>
      <c r="CB18" s="2145" t="s">
        <v>2680</v>
      </c>
      <c r="CC18" s="2146"/>
      <c r="CD18" s="2146"/>
      <c r="CE18" s="2146"/>
      <c r="DI18" s="1319"/>
      <c r="GJ18" s="1341">
        <v>21</v>
      </c>
      <c r="GK18" s="1341" t="s">
        <v>2681</v>
      </c>
      <c r="GL18" s="1341" t="s">
        <v>2682</v>
      </c>
      <c r="GO18" s="1360" t="s">
        <v>752</v>
      </c>
      <c r="GP18" s="1329">
        <f>'IND 1.1.1'!I122</f>
        <v>81</v>
      </c>
      <c r="GQ18" s="1329">
        <f>'IND 1.2.1'!K35</f>
        <v>17</v>
      </c>
      <c r="GR18" s="1330">
        <f t="shared" si="0"/>
        <v>98</v>
      </c>
      <c r="GS18" s="1329">
        <f>RANK(GR18,$GR$1:$GR$58,0)+COUNTIF(GR$1:GR18,GR18)-1</f>
        <v>11</v>
      </c>
      <c r="GT18" s="1329">
        <f t="shared" si="1"/>
        <v>11</v>
      </c>
      <c r="GU18" s="1331">
        <f t="shared" si="2"/>
        <v>1.7088055797733218E-2</v>
      </c>
      <c r="GV18" s="1332" t="str">
        <f t="shared" si="3"/>
        <v>Professeurs d'enseignement artistique</v>
      </c>
      <c r="GW18" s="1332" t="s">
        <v>1852</v>
      </c>
      <c r="GX18" s="1333">
        <f t="shared" si="4"/>
        <v>98</v>
      </c>
      <c r="GY18" s="1333">
        <f t="shared" si="5"/>
        <v>81</v>
      </c>
      <c r="GZ18" s="1333">
        <f t="shared" si="5"/>
        <v>17</v>
      </c>
    </row>
    <row r="19" spans="1:208" ht="13.35" customHeight="1">
      <c r="B19" s="2155"/>
      <c r="C19" s="2155"/>
      <c r="D19" s="2155"/>
      <c r="E19" s="2155"/>
      <c r="F19" s="2155"/>
      <c r="L19" s="2149" t="str">
        <f>IF(ISNA(VLOOKUP(1,$L$73:$O$80,2,FALSE))=FALSE,VLOOKUP(1,$L$73:$O$80,2,FALSE),"")</f>
        <v>Technique</v>
      </c>
      <c r="M19" s="2149"/>
      <c r="N19" s="2150">
        <f>IF(L19="","",VLOOKUP(1,$L$73:$O$80,3,FALSE))</f>
        <v>0.23796033994334279</v>
      </c>
      <c r="O19" s="2150"/>
      <c r="P19" s="2150">
        <f>IF(L19="","",VLOOKUP(1,$L$73:$O$80,4,FALSE))</f>
        <v>0.63071895424836599</v>
      </c>
      <c r="Q19" s="2150"/>
      <c r="S19" s="1367">
        <f>IF(S15="","",O85)</f>
        <v>7.4200913242009614E-3</v>
      </c>
      <c r="T19" s="1368" t="str">
        <f>IF(S15="","","des hommes à temps partiel")</f>
        <v>des hommes à temps partiel</v>
      </c>
      <c r="X19" s="1338"/>
      <c r="Y19" s="2152"/>
      <c r="Z19" s="2152"/>
      <c r="AA19" s="2172"/>
      <c r="AB19" s="2162"/>
      <c r="AC19" s="1365"/>
      <c r="AD19" s="1343">
        <v>4</v>
      </c>
      <c r="AE19" s="2157" t="str">
        <f>IF(ISNA(VLOOKUP(AD19,$AA$115:$AB$125,2,FALSE))=TRUE,"",VLOOKUP(AD19,$AA$115:$AB$125,2,FALSE))</f>
        <v>Voie de mutation</v>
      </c>
      <c r="AF19" s="2157"/>
      <c r="AG19" s="2157"/>
      <c r="AH19" s="1346">
        <f>IF(AE19&gt;"",VLOOKUP(AE19,$AB$115:$AE$124,4,FALSE),"")</f>
        <v>0.11239193083573487</v>
      </c>
      <c r="AI19" s="2010" t="s">
        <v>2640</v>
      </c>
      <c r="AJ19" s="2065" t="s">
        <v>2683</v>
      </c>
      <c r="AK19" s="2065"/>
      <c r="AL19" s="2065"/>
      <c r="AM19" s="2065"/>
      <c r="AN19" s="2065"/>
      <c r="AO19" s="2065"/>
      <c r="AP19" s="2065"/>
      <c r="AQ19" s="2065"/>
      <c r="AR19" s="2065"/>
      <c r="AS19" s="2065"/>
      <c r="AT19" s="2065"/>
      <c r="AU19" s="2065"/>
      <c r="AV19" s="2065"/>
      <c r="AW19" s="2010" t="str">
        <f>IF(AX19="","","Æ")</f>
        <v/>
      </c>
      <c r="AX19" s="2160" t="str">
        <f>IF('IND 2.1.0'!$B$8=0,"",IF('IND 2.1.0'!$B$8=1,"Les agents ont bénéficié d'un jour de congés au titre des droits acquis (cycles de travail antérieurs au 1er janvier 2002).","Les agents ont bénéficié de "&amp;'IND 2.1.0'!$B$8&amp;" jours de congés au titre des droits acquis (cycles de travail antérieurs au 1er janvier 2002)."))</f>
        <v/>
      </c>
      <c r="AY19" s="2160"/>
      <c r="AZ19" s="2160"/>
      <c r="BA19" s="2160"/>
      <c r="BB19" s="2160"/>
      <c r="BC19" s="2160"/>
      <c r="BD19" s="2160"/>
      <c r="BE19" s="2160"/>
      <c r="BF19" s="2160"/>
      <c r="BG19" s="2160"/>
      <c r="BH19" s="2160"/>
      <c r="BI19" s="1334" t="str">
        <f>IF(BJ19=" "," ","Æ")</f>
        <v>Æ</v>
      </c>
      <c r="BJ19" s="2065" t="str">
        <f>IF('IND 5.1.4'!C15=0, " ",TEXT(ROUND('IND 5.1.4'!$C$15,0),"# ##0") &amp;" € ont été consacrés à la formation en 2020")</f>
        <v>1 061 634 € ont été consacrés à la formation en 2020</v>
      </c>
      <c r="BK19" s="2065"/>
      <c r="BL19" s="2065"/>
      <c r="BM19" s="2065"/>
      <c r="BN19" s="2065"/>
      <c r="BR19" s="1369" t="str">
        <f>IF((D69+D70)=0,"","&gt; "&amp;
IF(AND(BS102/(D69+D70)&lt;2,BS102/(D69+D70)&gt;0),ROUND((BS102/(D69+D70)),1)&amp;" jour par agent",IF(BS102/(D69+D70)&gt;=2,ROUND((BS102/(D69+D70)),1)&amp;" jours par agent"," Aucun jour de formation")))</f>
        <v>&gt; 0,7 jour par agent</v>
      </c>
      <c r="BU19" s="1366"/>
      <c r="BV19" s="1366"/>
      <c r="BW19" s="1366"/>
      <c r="BX19" s="1366"/>
      <c r="BY19" s="1366"/>
      <c r="BZ19" s="1366"/>
      <c r="CA19" s="1366"/>
      <c r="CB19" s="2146"/>
      <c r="CC19" s="2146"/>
      <c r="CD19" s="2146"/>
      <c r="CE19" s="2146"/>
      <c r="DI19" s="1319"/>
      <c r="GJ19" s="1341">
        <v>58</v>
      </c>
      <c r="GK19" s="1341" t="s">
        <v>2681</v>
      </c>
      <c r="GL19" s="1341" t="s">
        <v>2684</v>
      </c>
      <c r="GO19" s="1360" t="s">
        <v>2685</v>
      </c>
      <c r="GP19" s="1329">
        <f>'IND 1.1.1'!I129</f>
        <v>40</v>
      </c>
      <c r="GQ19" s="1329">
        <f>'IND 1.2.1'!K36</f>
        <v>1</v>
      </c>
      <c r="GR19" s="1330">
        <f t="shared" si="0"/>
        <v>41</v>
      </c>
      <c r="GS19" s="1329">
        <f>RANK(GR19,$GR$1:$GR$58,0)+COUNTIF(GR$1:GR19,GR19)-1</f>
        <v>18</v>
      </c>
      <c r="GT19" s="1329">
        <f t="shared" si="1"/>
        <v>18</v>
      </c>
      <c r="GU19" s="1331">
        <f t="shared" si="2"/>
        <v>7.1490845684394075E-3</v>
      </c>
      <c r="GV19" s="1332" t="str">
        <f t="shared" si="3"/>
        <v>Assistants de conservation du patrimoine et des bibliothèque</v>
      </c>
      <c r="GW19" s="1332" t="s">
        <v>447</v>
      </c>
      <c r="GX19" s="1333">
        <f t="shared" si="4"/>
        <v>41</v>
      </c>
      <c r="GY19" s="1333">
        <f t="shared" si="5"/>
        <v>40</v>
      </c>
      <c r="GZ19" s="1333">
        <f t="shared" si="5"/>
        <v>1</v>
      </c>
    </row>
    <row r="20" spans="1:208" ht="13.35" customHeight="1">
      <c r="B20" s="2135">
        <f>D69</f>
        <v>4836</v>
      </c>
      <c r="C20" s="2135"/>
      <c r="D20" s="1319" t="str">
        <f>IF(D69&lt;2,"fonctionnaire","fonctionnaires")</f>
        <v>fonctionnaires</v>
      </c>
      <c r="L20" s="2149" t="str">
        <f>IF(ISNA(VLOOKUP(2,$L$73:$O$80,2,FALSE))=FALSE,VLOOKUP(2,$L$73:$O$80,2,FALSE),"")</f>
        <v>Sportive</v>
      </c>
      <c r="M20" s="2149"/>
      <c r="N20" s="2150">
        <f>IF(L20="","",VLOOKUP(2,$L$73:$O$80,3,FALSE))</f>
        <v>6.8965517241379309E-2</v>
      </c>
      <c r="O20" s="2150"/>
      <c r="P20" s="2150">
        <f>IF(L20="","",VLOOKUP(2,$L$73:$O$80,4,FALSE))</f>
        <v>0.43243243243243246</v>
      </c>
      <c r="Q20" s="2150"/>
      <c r="S20" s="1367">
        <f>IF(OR(J64=0,S15=""),"",O86)</f>
        <v>0.1428571428571429</v>
      </c>
      <c r="T20" s="1370" t="str">
        <f>IF(S15="","","des femmes à temps partiel")</f>
        <v>des femmes à temps partiel</v>
      </c>
      <c r="X20" s="1338"/>
      <c r="Y20" s="2151" t="str">
        <f>IF(D70&lt;2,"Contractuel","Contractuels")</f>
        <v>Contractuels</v>
      </c>
      <c r="Z20" s="2151"/>
      <c r="AA20" s="2153" t="str">
        <f>IF($AB$20="", "",IF(AB20&gt;0%,"æ",IF(AB20&lt;0,"è","â")))</f>
        <v>è</v>
      </c>
      <c r="AB20" s="2161">
        <f>AH144</f>
        <v>-8.9159067882472132E-2</v>
      </c>
      <c r="AC20" s="1365"/>
      <c r="AD20" s="1352">
        <v>5</v>
      </c>
      <c r="AE20" s="2163" t="str">
        <f>IF(ISNA(VLOOKUP(AD20,$AA$115:$AB$125,2,FALSE))=TRUE,"",VLOOKUP(AD20,$AA$115:$AB$125,2,FALSE))</f>
        <v>Remplacements (contractuels)</v>
      </c>
      <c r="AF20" s="2163"/>
      <c r="AG20" s="2163"/>
      <c r="AH20" s="1344">
        <f>IF(AE20&gt;"",VLOOKUP(AE20,$AB$115:$AE$124,4,FALSE),"")</f>
        <v>3.7463976945244955E-2</v>
      </c>
      <c r="AI20" s="2010"/>
      <c r="AJ20" s="2065"/>
      <c r="AK20" s="2065"/>
      <c r="AL20" s="2065"/>
      <c r="AM20" s="2065"/>
      <c r="AN20" s="2065"/>
      <c r="AO20" s="2065"/>
      <c r="AP20" s="2065"/>
      <c r="AQ20" s="2065"/>
      <c r="AR20" s="2065"/>
      <c r="AS20" s="2065"/>
      <c r="AT20" s="2065"/>
      <c r="AU20" s="2065"/>
      <c r="AV20" s="2065"/>
      <c r="AW20" s="2010"/>
      <c r="AX20" s="2160"/>
      <c r="AY20" s="2160"/>
      <c r="AZ20" s="2160"/>
      <c r="BA20" s="2160"/>
      <c r="BB20" s="2160"/>
      <c r="BC20" s="2160"/>
      <c r="BD20" s="2160"/>
      <c r="BE20" s="2160"/>
      <c r="BF20" s="2160"/>
      <c r="BG20" s="2160"/>
      <c r="BH20" s="2160"/>
      <c r="BJ20" s="2065"/>
      <c r="BK20" s="2065"/>
      <c r="BL20" s="2065"/>
      <c r="BM20" s="2065"/>
      <c r="BN20" s="2065"/>
      <c r="BV20" s="2176" t="s">
        <v>2686</v>
      </c>
      <c r="BW20" s="2176"/>
      <c r="BX20" s="2176"/>
      <c r="BY20" s="2176"/>
      <c r="BZ20" s="2017" t="s">
        <v>2687</v>
      </c>
      <c r="CA20" s="2017"/>
      <c r="CB20" s="2146"/>
      <c r="CC20" s="2146"/>
      <c r="CD20" s="2146"/>
      <c r="CE20" s="2146"/>
      <c r="DI20" s="1319"/>
      <c r="GJ20" s="1341">
        <v>71</v>
      </c>
      <c r="GK20" s="1341" t="s">
        <v>2681</v>
      </c>
      <c r="GL20" s="1341" t="s">
        <v>2688</v>
      </c>
      <c r="GO20" s="1360" t="s">
        <v>1026</v>
      </c>
      <c r="GP20" s="1329">
        <f>'IND 1.1.1'!I136</f>
        <v>29</v>
      </c>
      <c r="GQ20" s="1329">
        <f>'IND 1.2.1'!K37</f>
        <v>50</v>
      </c>
      <c r="GR20" s="1330">
        <f t="shared" si="0"/>
        <v>79</v>
      </c>
      <c r="GS20" s="1329">
        <f>RANK(GR20,$GR$1:$GR$58,0)+COUNTIF(GR$1:GR20,GR20)-1</f>
        <v>13</v>
      </c>
      <c r="GT20" s="1329">
        <f t="shared" si="1"/>
        <v>13</v>
      </c>
      <c r="GU20" s="1331">
        <f t="shared" si="2"/>
        <v>1.3775065387968613E-2</v>
      </c>
      <c r="GV20" s="1332" t="str">
        <f t="shared" si="3"/>
        <v>Assistants d'enseignement artistique</v>
      </c>
      <c r="GW20" s="1332" t="s">
        <v>447</v>
      </c>
      <c r="GX20" s="1333">
        <f t="shared" si="4"/>
        <v>79</v>
      </c>
      <c r="GY20" s="1333">
        <f t="shared" si="5"/>
        <v>29</v>
      </c>
      <c r="GZ20" s="1333">
        <f t="shared" si="5"/>
        <v>50</v>
      </c>
    </row>
    <row r="21" spans="1:208" ht="13.35" customHeight="1">
      <c r="B21" s="2135">
        <f>D70</f>
        <v>899</v>
      </c>
      <c r="C21" s="2135"/>
      <c r="D21" s="1371" t="str">
        <f>IF(D70&lt;2,"contractuel permanent","contractuels permanents")</f>
        <v>contractuels permanents</v>
      </c>
      <c r="L21" s="2149" t="str">
        <f>IF(ISNA(VLOOKUP(3,$L$73:$O$80,2,FALSE))=FALSE,VLOOKUP(3,$L$73:$O$80,2,FALSE),"")</f>
        <v>Administrative</v>
      </c>
      <c r="M21" s="2149"/>
      <c r="N21" s="2150">
        <f>IF(L21="","",VLOOKUP(3,$L$73:$O$80,3,FALSE))</f>
        <v>3.0195381882770871E-2</v>
      </c>
      <c r="O21" s="2150"/>
      <c r="P21" s="2150">
        <f>IF(L21="","",VLOOKUP(3,$L$73:$O$80,4,FALSE))</f>
        <v>6.741573033707865E-2</v>
      </c>
      <c r="Q21" s="2150"/>
      <c r="X21" s="1338"/>
      <c r="Y21" s="2152"/>
      <c r="Z21" s="2152"/>
      <c r="AA21" s="2154"/>
      <c r="AB21" s="2162"/>
      <c r="AE21" s="2130" t="s">
        <v>2689</v>
      </c>
      <c r="AF21" s="2130"/>
      <c r="AG21" s="1372"/>
      <c r="AH21" s="1372"/>
      <c r="AI21" s="1373"/>
      <c r="AJ21" s="1373"/>
      <c r="AK21" s="2144" t="s">
        <v>714</v>
      </c>
      <c r="AL21" s="2144"/>
      <c r="AM21" s="2144"/>
      <c r="AN21" s="2144"/>
      <c r="AO21" s="2144" t="s">
        <v>715</v>
      </c>
      <c r="AP21" s="2144"/>
      <c r="AQ21" s="2144"/>
      <c r="AR21" s="2144"/>
      <c r="AS21" s="2144" t="s">
        <v>670</v>
      </c>
      <c r="AT21" s="2144"/>
      <c r="AU21" s="2144"/>
      <c r="AV21" s="2144"/>
      <c r="AW21" s="2037" t="s">
        <v>2640</v>
      </c>
      <c r="AX21" s="2143" t="str">
        <f>IF('IND 2.1.0'!$B$10=0,"Aucune journée de congés supplémentaires accordée au-delà des congés légaux (exemple : journée du maire)",IF('IND 2.1.0'!$B$10=1,"Une journée de congés supplémentaires accordée au-delà des congés légaux (exemple : journée du maire)",'IND 2.1.0'!$B$10 &amp;" journées de congés supplémentaires accordées au-delà des congés légaux (exemple : journée du maire)"))</f>
        <v>Aucune journée de congés supplémentaires accordée au-delà des congés légaux (exemple : journée du maire)</v>
      </c>
      <c r="AY21" s="2143"/>
      <c r="AZ21" s="2143"/>
      <c r="BA21" s="2143"/>
      <c r="BB21" s="2143"/>
      <c r="BC21" s="2143"/>
      <c r="BD21" s="2143"/>
      <c r="BE21" s="2143"/>
      <c r="BF21" s="2143"/>
      <c r="BG21" s="2143"/>
      <c r="BH21" s="2143"/>
      <c r="BJ21" s="2065"/>
      <c r="BK21" s="2065"/>
      <c r="BL21" s="2065"/>
      <c r="BM21" s="2065"/>
      <c r="BN21" s="2065"/>
      <c r="BQ21" s="2125" t="str">
        <f>IF(BS102=0, "","Répartition des jours de formation"&amp;CHAR(10)&amp;"par organisme")</f>
        <v>Répartition des jours de formation
par organisme</v>
      </c>
      <c r="BR21" s="2125"/>
      <c r="BS21" s="2125"/>
      <c r="BT21" s="2125"/>
      <c r="BV21" s="1913" t="s">
        <v>2991</v>
      </c>
      <c r="BW21" s="1913"/>
      <c r="BX21" s="1913"/>
      <c r="BY21" s="1913"/>
      <c r="BZ21" s="2017"/>
      <c r="CA21" s="2017"/>
      <c r="CB21" s="2146"/>
      <c r="CC21" s="2146"/>
      <c r="CD21" s="2146"/>
      <c r="CE21" s="2146"/>
      <c r="DI21" s="1319"/>
      <c r="GJ21" s="1341">
        <v>89</v>
      </c>
      <c r="GK21" s="1341" t="s">
        <v>2681</v>
      </c>
      <c r="GL21" s="1341" t="s">
        <v>2690</v>
      </c>
      <c r="GO21" s="1360" t="s">
        <v>2691</v>
      </c>
      <c r="GP21" s="1329">
        <f>'IND 1.1.1'!I143</f>
        <v>92</v>
      </c>
      <c r="GQ21" s="1329">
        <f>'IND 1.2.1'!K38</f>
        <v>2</v>
      </c>
      <c r="GR21" s="1330">
        <f t="shared" si="0"/>
        <v>94</v>
      </c>
      <c r="GS21" s="1329">
        <f>RANK(GR21,$GR$1:$GR$58,0)+COUNTIF(GR$1:GR21,GR21)-1</f>
        <v>12</v>
      </c>
      <c r="GT21" s="1329">
        <f t="shared" si="1"/>
        <v>12</v>
      </c>
      <c r="GU21" s="1331">
        <f t="shared" si="2"/>
        <v>1.6390584132519617E-2</v>
      </c>
      <c r="GV21" s="1332" t="str">
        <f t="shared" si="3"/>
        <v>Adjoints du patrimoine</v>
      </c>
      <c r="GW21" s="1332" t="s">
        <v>375</v>
      </c>
      <c r="GX21" s="1333">
        <f t="shared" si="4"/>
        <v>94</v>
      </c>
      <c r="GY21" s="1333">
        <f t="shared" si="5"/>
        <v>92</v>
      </c>
      <c r="GZ21" s="1333">
        <f t="shared" si="5"/>
        <v>2</v>
      </c>
    </row>
    <row r="22" spans="1:208" ht="13.35" customHeight="1">
      <c r="B22" s="2135">
        <f>D71</f>
        <v>1674</v>
      </c>
      <c r="C22" s="2135"/>
      <c r="D22" s="1319" t="str">
        <f>IF(D71&lt;2,"contractuel non permanent","contractuels non permanents")</f>
        <v>contractuels non permanents</v>
      </c>
      <c r="X22" s="1338"/>
      <c r="Y22" s="2136" t="s">
        <v>2005</v>
      </c>
      <c r="Z22" s="2136"/>
      <c r="AA22" s="2138" t="str">
        <f>IF($AB$22="","",IF(AB22&gt;0%,"æ",IF(AB22&lt;0,"è","â")))</f>
        <v>è</v>
      </c>
      <c r="AB22" s="2140">
        <f>AH140</f>
        <v>-1.0451140916216688E-3</v>
      </c>
      <c r="AE22" s="2130" t="s">
        <v>2995</v>
      </c>
      <c r="AF22" s="2130"/>
      <c r="AG22" s="2130"/>
      <c r="AH22" s="2130"/>
      <c r="AI22" s="1373"/>
      <c r="AJ22" s="1373"/>
      <c r="AK22" s="2131" t="s">
        <v>2692</v>
      </c>
      <c r="AL22" s="2131"/>
      <c r="AM22" s="2131" t="s">
        <v>2693</v>
      </c>
      <c r="AN22" s="2131"/>
      <c r="AO22" s="2131" t="s">
        <v>2692</v>
      </c>
      <c r="AP22" s="2131"/>
      <c r="AQ22" s="2131" t="s">
        <v>2693</v>
      </c>
      <c r="AR22" s="2131"/>
      <c r="AS22" s="2131" t="s">
        <v>2692</v>
      </c>
      <c r="AT22" s="2131"/>
      <c r="AU22" s="2131" t="s">
        <v>2693</v>
      </c>
      <c r="AV22" s="2131"/>
      <c r="AW22" s="2037"/>
      <c r="AX22" s="2143"/>
      <c r="AY22" s="2143"/>
      <c r="AZ22" s="2143"/>
      <c r="BA22" s="2143"/>
      <c r="BB22" s="2143"/>
      <c r="BC22" s="2143"/>
      <c r="BD22" s="2143"/>
      <c r="BE22" s="2143"/>
      <c r="BF22" s="2143"/>
      <c r="BG22" s="2143"/>
      <c r="BH22" s="2143"/>
      <c r="BJ22" s="2133" t="str">
        <f>IF('IND 5.1.4'!C15=0," ","Répartition des dépenses de formation")</f>
        <v>Répartition des dépenses de formation</v>
      </c>
      <c r="BK22" s="2133"/>
      <c r="BL22" s="2133"/>
      <c r="BM22" s="2133"/>
      <c r="BN22" s="2133"/>
      <c r="BO22" s="1353"/>
      <c r="BP22" s="1353"/>
      <c r="BQ22" s="2125"/>
      <c r="BR22" s="2125"/>
      <c r="BS22" s="2125"/>
      <c r="BT22" s="2125"/>
      <c r="BV22" s="2100" t="s">
        <v>2694</v>
      </c>
      <c r="BW22" s="2100"/>
      <c r="BX22" s="2100"/>
      <c r="BY22" s="2100"/>
      <c r="BZ22" s="2100"/>
      <c r="CA22" s="2100"/>
      <c r="CB22" s="2100"/>
      <c r="CC22" s="2100"/>
      <c r="CD22" s="2100"/>
      <c r="CE22" s="2100"/>
      <c r="DI22" s="1319"/>
      <c r="GJ22" s="1341">
        <v>22</v>
      </c>
      <c r="GK22" s="1341" t="s">
        <v>2695</v>
      </c>
      <c r="GL22" s="1341" t="s">
        <v>2696</v>
      </c>
      <c r="GO22" s="1374" t="s">
        <v>1109</v>
      </c>
      <c r="GP22" s="1329">
        <f>'IND 1.1.1'!I151</f>
        <v>3</v>
      </c>
      <c r="GQ22" s="1329">
        <f>'IND 1.2.1'!K41</f>
        <v>0</v>
      </c>
      <c r="GR22" s="1330">
        <f t="shared" si="0"/>
        <v>3</v>
      </c>
      <c r="GS22" s="1329">
        <f>RANK(GR22,$GR$1:$GR$58,0)+COUNTIF(GR$1:GR22,GR22)-1</f>
        <v>30</v>
      </c>
      <c r="GT22" s="1329">
        <f t="shared" si="1"/>
        <v>30</v>
      </c>
      <c r="GU22" s="1331">
        <f t="shared" si="2"/>
        <v>5.2310374891020048E-4</v>
      </c>
      <c r="GV22" s="1332" t="str">
        <f t="shared" si="3"/>
        <v>Conseillers des APS</v>
      </c>
      <c r="GW22" s="1332" t="s">
        <v>1852</v>
      </c>
      <c r="GX22" s="1333">
        <f t="shared" si="4"/>
        <v>3</v>
      </c>
      <c r="GY22" s="1333">
        <f t="shared" si="5"/>
        <v>3</v>
      </c>
      <c r="GZ22" s="1333">
        <f t="shared" si="5"/>
        <v>0</v>
      </c>
    </row>
    <row r="23" spans="1:208" ht="13.35" customHeight="1" thickBot="1">
      <c r="G23" s="1375"/>
      <c r="L23" s="1316"/>
      <c r="M23" s="1316"/>
      <c r="N23" s="1316"/>
      <c r="O23" s="1316"/>
      <c r="P23" s="1316"/>
      <c r="Q23" s="1316"/>
      <c r="R23" s="1316"/>
      <c r="T23" s="1316"/>
      <c r="U23" s="1316"/>
      <c r="V23" s="1316"/>
      <c r="W23" s="1316"/>
      <c r="X23" s="1376"/>
      <c r="Y23" s="2137"/>
      <c r="Z23" s="2137"/>
      <c r="AA23" s="2139"/>
      <c r="AB23" s="2141"/>
      <c r="AD23" s="1377"/>
      <c r="AE23" s="2130"/>
      <c r="AF23" s="2130"/>
      <c r="AG23" s="2130"/>
      <c r="AH23" s="2130"/>
      <c r="AI23" s="2142" t="s">
        <v>2697</v>
      </c>
      <c r="AJ23" s="2142"/>
      <c r="AK23" s="2134">
        <f t="shared" ref="AK23:AK31" si="6">IF(AK161&gt;=2,AK148/AK161,IF(AK161=0,"","s"))</f>
        <v>55067.982055961082</v>
      </c>
      <c r="AL23" s="2134"/>
      <c r="AM23" s="2134">
        <f t="shared" ref="AM23:AM31" si="7">IF(AN161&gt;=2,AN148/AN161,IF(AN161=0,"","s"))</f>
        <v>65360.177383592018</v>
      </c>
      <c r="AN23" s="2134"/>
      <c r="AO23" s="2134">
        <f t="shared" ref="AO23:AO31" si="8">IF(AO161&gt;=2,AO148/AO161,IF(AO161=0,"","s"))</f>
        <v>36613.790681339269</v>
      </c>
      <c r="AP23" s="2134"/>
      <c r="AQ23" s="2134">
        <f t="shared" ref="AQ23:AQ31" si="9">IF(AP161&gt;=2,AP148/AP161,IF(AP161=0,"","s"))</f>
        <v>49921.278254091972</v>
      </c>
      <c r="AR23" s="2134"/>
      <c r="AS23" s="2134">
        <f t="shared" ref="AS23:AS31" si="10">IF(AR161&gt;=2,AR148/AR161,IF(AR161=0,"","s"))</f>
        <v>27324.062218485378</v>
      </c>
      <c r="AT23" s="2134"/>
      <c r="AU23" s="2134">
        <f t="shared" ref="AU23:AU31" si="11">IF(AT161&gt;=2,AT148/AT161,IF(AT161=0,"","s"))</f>
        <v>27208.830594791969</v>
      </c>
      <c r="AV23" s="2134"/>
      <c r="AW23" s="2037" t="s">
        <v>2640</v>
      </c>
      <c r="AX23" s="2143" t="str">
        <f>IF(SUM('IND 2.2.6'!$B$13:$G$13,'IND 2.2.6'!$B$22:$G$22)=0,"Aucun jour de carence prélevé pour les agents permanents",TEXT((BF76/BF75)*100,"##0,0")&amp;" % des agents permanents ayant été absents ont eu au moins un jour de carence prélevé")</f>
        <v>47,6 % des agents permanents ayant été absents ont eu au moins un jour de carence prélevé</v>
      </c>
      <c r="AY23" s="2143"/>
      <c r="AZ23" s="2143"/>
      <c r="BA23" s="2143"/>
      <c r="BB23" s="2143"/>
      <c r="BC23" s="2143"/>
      <c r="BD23" s="2143"/>
      <c r="BE23" s="2143"/>
      <c r="BF23" s="2143"/>
      <c r="BG23" s="2143"/>
      <c r="BH23" s="2143"/>
      <c r="BJ23" s="2133"/>
      <c r="BK23" s="2133"/>
      <c r="BL23" s="2133"/>
      <c r="BM23" s="2133"/>
      <c r="BN23" s="2133"/>
      <c r="BO23" s="1353"/>
      <c r="BP23" s="1353"/>
      <c r="BQ23" s="2125"/>
      <c r="BR23" s="2125"/>
      <c r="BS23" s="2125"/>
      <c r="BT23" s="2125"/>
      <c r="CH23" s="1319"/>
      <c r="DI23" s="1319"/>
      <c r="GJ23" s="1341">
        <v>29</v>
      </c>
      <c r="GK23" s="1341" t="s">
        <v>2695</v>
      </c>
      <c r="GL23" s="1341" t="s">
        <v>2698</v>
      </c>
      <c r="GO23" s="1374" t="s">
        <v>1110</v>
      </c>
      <c r="GP23" s="1329">
        <f>'IND 1.1.1'!I158</f>
        <v>75</v>
      </c>
      <c r="GQ23" s="1329">
        <f>'IND 1.2.1'!K42</f>
        <v>36</v>
      </c>
      <c r="GR23" s="1330">
        <f t="shared" si="0"/>
        <v>111</v>
      </c>
      <c r="GS23" s="1329">
        <f>RANK(GR23,$GR$1:$GR$58,0)+COUNTIF(GR$1:GR23,GR23)-1</f>
        <v>10</v>
      </c>
      <c r="GT23" s="1329">
        <f t="shared" si="1"/>
        <v>10</v>
      </c>
      <c r="GU23" s="1331">
        <f t="shared" si="2"/>
        <v>1.935483870967742E-2</v>
      </c>
      <c r="GV23" s="1332" t="str">
        <f t="shared" si="3"/>
        <v>Educateurs des APS</v>
      </c>
      <c r="GW23" s="1332" t="s">
        <v>447</v>
      </c>
      <c r="GX23" s="1333">
        <f t="shared" si="4"/>
        <v>111</v>
      </c>
      <c r="GY23" s="1333">
        <f t="shared" si="5"/>
        <v>75</v>
      </c>
      <c r="GZ23" s="1333">
        <f t="shared" si="5"/>
        <v>36</v>
      </c>
    </row>
    <row r="24" spans="1:208" ht="13.35" customHeight="1">
      <c r="A24" s="2129" t="str">
        <f>IF($B$24="","","Æ")</f>
        <v>Æ</v>
      </c>
      <c r="B24" s="2124" t="str">
        <f>IF($D$70=0,"",IF($I$70=0,"Aucun contractuel permanent en CDI",
(IF($I$70&gt;5,ROUND($I$70/$D$70*100,0)&amp;" % des contractuels permanents en CDI",
IF($I$70=1,"1 contractuel permanent en CDI",$I$70&amp;" contractuels permanents en CDI")))))</f>
        <v>16 % des contractuels permanents en CDI</v>
      </c>
      <c r="C24" s="2124"/>
      <c r="D24" s="2124"/>
      <c r="E24" s="2124"/>
      <c r="F24" s="2124"/>
      <c r="G24" s="2123" t="str">
        <f>IF($H$24="","","Æ")</f>
        <v>Æ</v>
      </c>
      <c r="H24" s="2124" t="str">
        <f>IF($D$74=0,"",IF($D$74&lt;2,"Un agent sur emploi fonctionnel dans la collectivité",$D$74&amp;" agents sur emploi fonctionnel dans la collectivité"&amp;IF($D$75&gt;0," dont "&amp;IF($D$75&lt;2,"un contractuel",$D$75&amp;" contractuels"),"")))</f>
        <v>6 agents sur emploi fonctionnel dans la collectivité dont 3 contractuels</v>
      </c>
      <c r="I24" s="2124"/>
      <c r="J24" s="2124"/>
      <c r="K24" s="2124"/>
      <c r="L24" s="1325"/>
      <c r="M24" s="1325"/>
      <c r="N24" s="1325"/>
      <c r="O24" s="1325"/>
      <c r="P24" s="1325"/>
      <c r="Q24" s="1325"/>
      <c r="R24" s="1325"/>
      <c r="S24" s="1325"/>
      <c r="T24" s="1325"/>
      <c r="U24" s="1325"/>
      <c r="V24" s="1325"/>
      <c r="W24" s="1325"/>
      <c r="X24" s="1338"/>
      <c r="AB24" s="1379"/>
      <c r="AC24" s="1379"/>
      <c r="AD24" s="1379"/>
      <c r="AE24" s="2130" t="s">
        <v>2996</v>
      </c>
      <c r="AF24" s="2130"/>
      <c r="AG24" s="2130"/>
      <c r="AH24" s="2130"/>
      <c r="AI24" s="2071" t="s">
        <v>2699</v>
      </c>
      <c r="AJ24" s="2071"/>
      <c r="AK24" s="2118">
        <f t="shared" si="6"/>
        <v>62452.386442241172</v>
      </c>
      <c r="AL24" s="2118"/>
      <c r="AM24" s="2118">
        <f t="shared" si="7"/>
        <v>63106.341911764714</v>
      </c>
      <c r="AN24" s="2118"/>
      <c r="AO24" s="2118">
        <f t="shared" si="8"/>
        <v>36747.700964630225</v>
      </c>
      <c r="AP24" s="2118"/>
      <c r="AQ24" s="2118">
        <f t="shared" si="9"/>
        <v>37978.252299605781</v>
      </c>
      <c r="AR24" s="2118"/>
      <c r="AS24" s="2118">
        <f t="shared" si="10"/>
        <v>26368.935675025277</v>
      </c>
      <c r="AT24" s="2118"/>
      <c r="AU24" s="2118">
        <f t="shared" si="11"/>
        <v>25427.011761965761</v>
      </c>
      <c r="AV24" s="2118"/>
      <c r="AW24" s="2037"/>
      <c r="AX24" s="2143"/>
      <c r="AY24" s="2143"/>
      <c r="AZ24" s="2143"/>
      <c r="BA24" s="2143"/>
      <c r="BB24" s="2143"/>
      <c r="BC24" s="2143"/>
      <c r="BD24" s="2143"/>
      <c r="BE24" s="2143"/>
      <c r="BF24" s="2143"/>
      <c r="BG24" s="2143"/>
      <c r="BH24" s="2143"/>
      <c r="BJ24" s="2126" t="str">
        <f>IF('IND 5.1.4'!$C$11+'IND 5.1.4'!$C$12=0,"", "CNFPT ")</f>
        <v xml:space="preserve">CNFPT </v>
      </c>
      <c r="BK24" s="2126"/>
      <c r="BL24" s="2126"/>
      <c r="BM24" s="2126"/>
      <c r="BN24" s="1380" t="str">
        <f>IF(BM108=0,"",ROUND(((BM108/'IND 5.1.4'!$C$15)*100),0) &amp; " %")</f>
        <v>100 %</v>
      </c>
      <c r="BQ24" s="2126" t="str">
        <f>IF(BS102=0,"",IF(BT24="","", "CNFPT"))</f>
        <v>CNFPT</v>
      </c>
      <c r="BR24" s="2126"/>
      <c r="BS24" s="2126"/>
      <c r="BT24" s="1381">
        <f>IF(BS107=0,"",BS107)</f>
        <v>0.45698644421272161</v>
      </c>
      <c r="BV24" s="2147" t="s">
        <v>2700</v>
      </c>
      <c r="BW24" s="2147"/>
      <c r="BX24" s="2147"/>
      <c r="BY24" s="2147"/>
      <c r="CA24" s="1382"/>
      <c r="CB24" s="1382"/>
      <c r="CC24" s="1382"/>
      <c r="CD24" s="1382"/>
      <c r="CE24" s="1382"/>
      <c r="CH24" s="1319"/>
      <c r="DI24" s="1319"/>
      <c r="GJ24" s="1341">
        <v>35</v>
      </c>
      <c r="GK24" s="1341" t="s">
        <v>2695</v>
      </c>
      <c r="GL24" s="1341" t="s">
        <v>2701</v>
      </c>
      <c r="GO24" s="1374" t="s">
        <v>1111</v>
      </c>
      <c r="GP24" s="1329">
        <f>'IND 1.1.1'!I164</f>
        <v>9</v>
      </c>
      <c r="GQ24" s="1329">
        <f>'IND 1.2.1'!K43</f>
        <v>1</v>
      </c>
      <c r="GR24" s="1330">
        <f t="shared" si="0"/>
        <v>10</v>
      </c>
      <c r="GS24" s="1329">
        <f>RANK(GR24,$GR$1:$GR$58,0)+COUNTIF(GR$1:GR24,GR24)-1</f>
        <v>25</v>
      </c>
      <c r="GT24" s="1329">
        <f t="shared" si="1"/>
        <v>25</v>
      </c>
      <c r="GU24" s="1331">
        <f t="shared" si="2"/>
        <v>1.7436791630340018E-3</v>
      </c>
      <c r="GV24" s="1332" t="str">
        <f t="shared" si="3"/>
        <v>Opérateurs des APS</v>
      </c>
      <c r="GW24" s="1332" t="s">
        <v>375</v>
      </c>
      <c r="GX24" s="1333">
        <f t="shared" si="4"/>
        <v>10</v>
      </c>
      <c r="GY24" s="1333">
        <f t="shared" si="5"/>
        <v>9</v>
      </c>
      <c r="GZ24" s="1333">
        <f t="shared" si="5"/>
        <v>1</v>
      </c>
    </row>
    <row r="25" spans="1:208" ht="13.35" customHeight="1" thickBot="1">
      <c r="A25" s="2129"/>
      <c r="B25" s="2124"/>
      <c r="C25" s="2124"/>
      <c r="D25" s="2124"/>
      <c r="E25" s="2124"/>
      <c r="F25" s="2124"/>
      <c r="G25" s="2123"/>
      <c r="H25" s="2124"/>
      <c r="I25" s="2124"/>
      <c r="J25" s="2124"/>
      <c r="K25" s="2124"/>
      <c r="L25" s="1378" t="s">
        <v>2640</v>
      </c>
      <c r="M25" s="2132" t="str">
        <f>IF(D69+D70=0,"Aucun agent",IF(D69+D70&lt;2,"L'agent employé a "&amp;G88&amp;" ans","En moyenne, les agents de la collectivité ont "&amp;ROUND($O$33,0)&amp;" ans"))</f>
        <v>En moyenne, les agents de la collectivité ont 47 ans</v>
      </c>
      <c r="N25" s="2132"/>
      <c r="O25" s="2132"/>
      <c r="P25" s="2132"/>
      <c r="Q25" s="2132"/>
      <c r="R25" s="2132"/>
      <c r="S25" s="2132"/>
      <c r="T25" s="2132"/>
      <c r="U25" s="2132"/>
      <c r="V25" s="2132"/>
      <c r="W25" s="2132"/>
      <c r="X25" s="1316"/>
      <c r="Y25" s="1316"/>
      <c r="Z25" s="1316"/>
      <c r="AA25" s="1316"/>
      <c r="AB25" s="1316"/>
      <c r="AC25" s="1316"/>
      <c r="AD25" s="1316"/>
      <c r="AE25" s="1316"/>
      <c r="AF25" s="1316"/>
      <c r="AG25" s="1316"/>
      <c r="AH25" s="1316"/>
      <c r="AI25" s="2053" t="s">
        <v>2702</v>
      </c>
      <c r="AJ25" s="2053"/>
      <c r="AK25" s="2114">
        <f t="shared" si="6"/>
        <v>41513.880359978823</v>
      </c>
      <c r="AL25" s="2114"/>
      <c r="AM25" s="2114">
        <f t="shared" si="7"/>
        <v>31364.304291287386</v>
      </c>
      <c r="AN25" s="2114"/>
      <c r="AO25" s="2114">
        <f t="shared" si="8"/>
        <v>34352.212946920779</v>
      </c>
      <c r="AP25" s="2114"/>
      <c r="AQ25" s="2114">
        <f t="shared" si="9"/>
        <v>25810.786106032905</v>
      </c>
      <c r="AR25" s="2114"/>
      <c r="AS25" s="2114">
        <f t="shared" si="10"/>
        <v>26933.79294755877</v>
      </c>
      <c r="AT25" s="2114"/>
      <c r="AU25" s="2114">
        <f t="shared" si="11"/>
        <v>26129.5</v>
      </c>
      <c r="AV25" s="2114"/>
      <c r="AW25" s="2037" t="str">
        <f>IF(AX25="","","Æ")</f>
        <v/>
      </c>
      <c r="AX25" s="2143" t="str">
        <f>IF('IND 4.2.5'!$I$5="Oui", "La collectivité adhère à un contrat d'assurance groupe pour la gestion du risque maladie",IF('IND 4.2.5'!$I$4="Non","La collectivité n'est pas assurée pour la gestion du risque maladie",""))</f>
        <v/>
      </c>
      <c r="AY25" s="2143"/>
      <c r="AZ25" s="2143"/>
      <c r="BA25" s="2143"/>
      <c r="BB25" s="2143"/>
      <c r="BC25" s="2143"/>
      <c r="BD25" s="2143"/>
      <c r="BE25" s="2143"/>
      <c r="BF25" s="2143"/>
      <c r="BG25" s="2143"/>
      <c r="BH25" s="2143"/>
      <c r="BJ25" s="2148" t="str">
        <f>IF('IND 5.1.4'!$C$13=0,"","Autres organismes ")</f>
        <v xml:space="preserve">Autres organismes </v>
      </c>
      <c r="BK25" s="2148"/>
      <c r="BL25" s="2148"/>
      <c r="BM25" s="2148"/>
      <c r="BN25" s="1383" t="str">
        <f>IF(BM109=0,"",ROUND(((BM109/'IND 5.1.4'!$C$15)*100),0) &amp; " %")</f>
        <v>0 %</v>
      </c>
      <c r="BQ25" s="2148" t="str">
        <f>IF(BS102=0,"",IF(BT25="","","Autres organismes "))</f>
        <v xml:space="preserve">Autres organismes </v>
      </c>
      <c r="BR25" s="2148"/>
      <c r="BS25" s="2148"/>
      <c r="BT25" s="1384">
        <f>IF(BS108=0,"",BS108)</f>
        <v>0.2275808133472367</v>
      </c>
      <c r="BU25" s="1385"/>
      <c r="BV25" s="2147"/>
      <c r="BW25" s="2147"/>
      <c r="BX25" s="2147"/>
      <c r="BY25" s="2147"/>
      <c r="DI25" s="1319"/>
      <c r="GJ25" s="1341">
        <v>56</v>
      </c>
      <c r="GK25" s="1341" t="s">
        <v>2695</v>
      </c>
      <c r="GL25" s="1341" t="s">
        <v>2703</v>
      </c>
      <c r="GO25" s="1386" t="s">
        <v>1112</v>
      </c>
      <c r="GP25" s="1329">
        <f>'IND 1.1.1'!I173</f>
        <v>0</v>
      </c>
      <c r="GQ25" s="1329">
        <f>'IND 1.2.1'!K46</f>
        <v>0</v>
      </c>
      <c r="GR25" s="1330">
        <f t="shared" si="0"/>
        <v>0</v>
      </c>
      <c r="GS25" s="1329">
        <f>RANK(GR25,$GR$1:$GR$58,0)+COUNTIF(GR$1:GR25,GR25)-1</f>
        <v>40</v>
      </c>
      <c r="GT25" s="1329">
        <f t="shared" si="1"/>
        <v>40</v>
      </c>
      <c r="GU25" s="1331">
        <f t="shared" si="2"/>
        <v>0</v>
      </c>
      <c r="GV25" s="1332" t="str">
        <f t="shared" si="3"/>
        <v>Conseillers socio-éducatifs</v>
      </c>
      <c r="GW25" s="1332" t="s">
        <v>1852</v>
      </c>
      <c r="GX25" s="1333">
        <f t="shared" si="4"/>
        <v>0</v>
      </c>
      <c r="GY25" s="1333">
        <f t="shared" si="5"/>
        <v>0</v>
      </c>
      <c r="GZ25" s="1333">
        <f t="shared" si="5"/>
        <v>0</v>
      </c>
    </row>
    <row r="26" spans="1:208" ht="13.35" customHeight="1" thickTop="1">
      <c r="B26" s="1387"/>
      <c r="C26" s="1387"/>
      <c r="D26" s="1387"/>
      <c r="E26" s="1387"/>
      <c r="F26" s="1387"/>
      <c r="G26" s="1387"/>
      <c r="H26" s="2124"/>
      <c r="I26" s="2124"/>
      <c r="J26" s="2124"/>
      <c r="K26" s="2124"/>
      <c r="M26" s="2132"/>
      <c r="N26" s="2132"/>
      <c r="O26" s="2132"/>
      <c r="P26" s="2132"/>
      <c r="Q26" s="2132"/>
      <c r="R26" s="2132"/>
      <c r="S26" s="2132"/>
      <c r="T26" s="2132"/>
      <c r="U26" s="2132"/>
      <c r="V26" s="2132"/>
      <c r="W26" s="2132"/>
      <c r="AI26" s="2071" t="s">
        <v>2704</v>
      </c>
      <c r="AJ26" s="2071"/>
      <c r="AK26" s="2118">
        <f t="shared" si="6"/>
        <v>44115.333333333336</v>
      </c>
      <c r="AL26" s="2118"/>
      <c r="AM26" s="2118" t="str">
        <f t="shared" si="7"/>
        <v/>
      </c>
      <c r="AN26" s="2118"/>
      <c r="AO26" s="2118">
        <f t="shared" si="8"/>
        <v>31593.278734820677</v>
      </c>
      <c r="AP26" s="2118"/>
      <c r="AQ26" s="2118">
        <f t="shared" si="9"/>
        <v>27498.470038249041</v>
      </c>
      <c r="AR26" s="2118"/>
      <c r="AS26" s="2118">
        <f t="shared" si="10"/>
        <v>27549.333333333332</v>
      </c>
      <c r="AT26" s="2118"/>
      <c r="AU26" s="2118" t="str">
        <f t="shared" si="11"/>
        <v>s</v>
      </c>
      <c r="AV26" s="2118"/>
      <c r="AW26" s="2037"/>
      <c r="AX26" s="2143"/>
      <c r="AY26" s="2143"/>
      <c r="AZ26" s="2143"/>
      <c r="BA26" s="2143"/>
      <c r="BB26" s="2143"/>
      <c r="BC26" s="2143"/>
      <c r="BD26" s="2143"/>
      <c r="BE26" s="2143"/>
      <c r="BF26" s="2143"/>
      <c r="BG26" s="2143"/>
      <c r="BH26" s="2143"/>
      <c r="BJ26" s="2126" t="str">
        <f>IF('IND 5.1.4'!$C$14=0,"","Frais de déplacement ")</f>
        <v/>
      </c>
      <c r="BK26" s="2126"/>
      <c r="BL26" s="2126"/>
      <c r="BM26" s="2126"/>
      <c r="BN26" s="1380" t="str">
        <f>IF(BM110=0,"",ROUND(((BM110/'IND 5.1.4'!$C$15)*100),0) &amp; " %")</f>
        <v/>
      </c>
      <c r="BQ26" s="2127" t="str">
        <f>IF(BS102=0,"",IF(BT26="","","Interne à la collectivité "))</f>
        <v xml:space="preserve">Interne à la collectivité </v>
      </c>
      <c r="BR26" s="2127"/>
      <c r="BS26" s="2127"/>
      <c r="BT26" s="1381">
        <f>IF(BS109=0,"",BS109)</f>
        <v>0.31543274244004171</v>
      </c>
      <c r="BV26" s="2120" t="s">
        <v>2705</v>
      </c>
      <c r="BW26" s="2120"/>
      <c r="BX26" s="2120"/>
      <c r="BY26" s="2120" t="s">
        <v>2706</v>
      </c>
      <c r="BZ26" s="2120"/>
      <c r="CA26" s="2120"/>
      <c r="CB26" s="2120"/>
      <c r="CC26" s="2119" t="s">
        <v>2707</v>
      </c>
      <c r="CD26" s="2120"/>
      <c r="CE26" s="2120"/>
      <c r="DI26" s="1319"/>
      <c r="GJ26" s="1341">
        <v>18</v>
      </c>
      <c r="GK26" s="1341" t="s">
        <v>2708</v>
      </c>
      <c r="GL26" s="1341" t="s">
        <v>2709</v>
      </c>
      <c r="GO26" s="1386" t="s">
        <v>1113</v>
      </c>
      <c r="GP26" s="1329">
        <f>'IND 1.1.1'!I179</f>
        <v>4</v>
      </c>
      <c r="GQ26" s="1329">
        <f>'IND 1.2.1'!K47</f>
        <v>0</v>
      </c>
      <c r="GR26" s="1330">
        <f t="shared" si="0"/>
        <v>4</v>
      </c>
      <c r="GS26" s="1329">
        <f>RANK(GR26,$GR$1:$GR$58,0)+COUNTIF(GR$1:GR26,GR26)-1</f>
        <v>28</v>
      </c>
      <c r="GT26" s="1329">
        <f t="shared" si="1"/>
        <v>28</v>
      </c>
      <c r="GU26" s="1331">
        <f t="shared" si="2"/>
        <v>6.9747166521360075E-4</v>
      </c>
      <c r="GV26" s="1332" t="str">
        <f t="shared" si="3"/>
        <v>Assistants socio-éducatifs</v>
      </c>
      <c r="GW26" s="1332" t="s">
        <v>1852</v>
      </c>
      <c r="GX26" s="1333">
        <f t="shared" si="4"/>
        <v>4</v>
      </c>
      <c r="GY26" s="1333">
        <f t="shared" si="5"/>
        <v>4</v>
      </c>
      <c r="GZ26" s="1333">
        <f t="shared" si="5"/>
        <v>0</v>
      </c>
    </row>
    <row r="27" spans="1:208" ht="13.35" customHeight="1" thickBot="1">
      <c r="A27" s="2123" t="str">
        <f>IF($B$27="","","Æ")</f>
        <v>Æ</v>
      </c>
      <c r="B27" s="2124" t="str">
        <f>IF($D$71=0,"",IF($D$71&lt;2,"Précisions emploi non permanent","Précisions emplois non permanents"))</f>
        <v>Précisions emplois non permanents</v>
      </c>
      <c r="C27" s="2124"/>
      <c r="D27" s="2124"/>
      <c r="E27" s="2124"/>
      <c r="F27" s="2124"/>
      <c r="G27" s="2124"/>
      <c r="H27" s="2124"/>
      <c r="I27" s="2124"/>
      <c r="J27" s="2124"/>
      <c r="K27" s="2124"/>
      <c r="M27" s="2067" t="str">
        <f>IF(D69+D70&lt;2,"Tranche d'âge","Âge moyen*"&amp;CHAR(10)&amp;"des agents permanents")</f>
        <v>Âge moyen*
des agents permanents</v>
      </c>
      <c r="N27" s="2067"/>
      <c r="O27" s="2067"/>
      <c r="P27" s="2067"/>
      <c r="R27" s="2125" t="s">
        <v>2710</v>
      </c>
      <c r="S27" s="2125"/>
      <c r="T27" s="2125"/>
      <c r="U27" s="2125"/>
      <c r="V27" s="2125"/>
      <c r="W27" s="2125"/>
      <c r="X27" s="2044" t="s">
        <v>2640</v>
      </c>
      <c r="Y27" s="2065" t="str">
        <f>IF(B20=0," ",
IF((AF62+AG62)=0,"Aucun bénéficiaire d'une promotion interne",IF(AF62+AG62&lt;2,AF62+AG62&amp;" bénéficiaire d'une promotion interne "&amp;IF(AF63+AG63=0,"nommé","n'ayant pas été nommé"),AF62+AG62&amp;" bénéficiaires d'une promotion interne "&amp;IF(AF63+AG63=0,"nommés",IF(AF62+AG62=AF63+AG63,"n'ayant pas été nommés","dont "&amp;AG63+AF63&amp;" n'ayant pas été nommés")))))</f>
        <v>37 bénéficiaires d'une promotion interne dont 1 n'ayant pas été nommés</v>
      </c>
      <c r="Z27" s="2065"/>
      <c r="AA27" s="2065"/>
      <c r="AB27" s="2065"/>
      <c r="AC27" s="2065"/>
      <c r="AD27" s="1753" t="s">
        <v>2640</v>
      </c>
      <c r="AE27" s="2065" t="str">
        <f>IF(B20=0," ",
IF((AF64+AG64)=0,"Aucun lauréat d'un examen professionnel",IF(AF64+AG64&lt;2,AF64+AG64&amp;" lauréat d'un examen professionnel "&amp;IF(AF65+AG65=0,"nommé","n'ayant pas été nommé"),AF64+AG64&amp;" lauréats d'un examen professionnel "&amp;IF(AF65+AG65=0,"nommés",IF(AF64+AG64=AF65+AG65,"n'ayant pas été nommés","dont "&amp;AG65+AF65&amp;" n'ayant pas été nommés")))))</f>
        <v>9 lauréats d'un examen professionnel nommés</v>
      </c>
      <c r="AF27" s="2065"/>
      <c r="AG27" s="2065"/>
      <c r="AH27" s="2065"/>
      <c r="AI27" s="2053" t="s">
        <v>2711</v>
      </c>
      <c r="AJ27" s="2053"/>
      <c r="AK27" s="2114">
        <f t="shared" si="6"/>
        <v>40919.201520912546</v>
      </c>
      <c r="AL27" s="2114"/>
      <c r="AM27" s="2114">
        <f t="shared" si="7"/>
        <v>32280.230414746544</v>
      </c>
      <c r="AN27" s="2114"/>
      <c r="AO27" s="2114">
        <f t="shared" si="8"/>
        <v>31032.5</v>
      </c>
      <c r="AP27" s="2114"/>
      <c r="AQ27" s="2114" t="str">
        <f t="shared" si="9"/>
        <v/>
      </c>
      <c r="AR27" s="2114"/>
      <c r="AS27" s="2114">
        <f t="shared" si="10"/>
        <v>26711.044738635956</v>
      </c>
      <c r="AT27" s="2114"/>
      <c r="AU27" s="2114">
        <f t="shared" si="11"/>
        <v>24437.707043064958</v>
      </c>
      <c r="AV27" s="2114"/>
      <c r="AW27" s="1316"/>
      <c r="AX27" s="1316"/>
      <c r="AY27" s="1316"/>
      <c r="AZ27" s="1316"/>
      <c r="BA27" s="1316"/>
      <c r="BB27" s="1316"/>
      <c r="BC27" s="1316"/>
      <c r="BD27" s="1316"/>
      <c r="BE27" s="1316"/>
      <c r="BF27" s="1316"/>
      <c r="BG27" s="1316"/>
      <c r="BH27" s="1316"/>
      <c r="BU27" s="1385"/>
      <c r="BV27" s="2121"/>
      <c r="BW27" s="2121"/>
      <c r="BX27" s="2121"/>
      <c r="BY27" s="2121"/>
      <c r="BZ27" s="2121"/>
      <c r="CA27" s="2121"/>
      <c r="CB27" s="2121"/>
      <c r="CC27" s="2121"/>
      <c r="CD27" s="2121"/>
      <c r="CE27" s="2121"/>
      <c r="GJ27" s="1341">
        <v>28</v>
      </c>
      <c r="GK27" s="1341" t="s">
        <v>2708</v>
      </c>
      <c r="GL27" s="1341" t="s">
        <v>2712</v>
      </c>
      <c r="GO27" s="1386" t="s">
        <v>1114</v>
      </c>
      <c r="GP27" s="1329">
        <f>'IND 1.1.1'!I185</f>
        <v>49</v>
      </c>
      <c r="GQ27" s="1329">
        <f>'IND 1.2.1'!K48</f>
        <v>15</v>
      </c>
      <c r="GR27" s="1330">
        <f t="shared" si="0"/>
        <v>64</v>
      </c>
      <c r="GS27" s="1329">
        <f>RANK(GR27,$GR$1:$GR$58,0)+COUNTIF(GR$1:GR27,GR27)-1</f>
        <v>15</v>
      </c>
      <c r="GT27" s="1329">
        <f t="shared" si="1"/>
        <v>15</v>
      </c>
      <c r="GU27" s="1331">
        <f t="shared" si="2"/>
        <v>1.1159546643417612E-2</v>
      </c>
      <c r="GV27" s="1332" t="str">
        <f t="shared" si="3"/>
        <v>Educateurs de jeunes enfants</v>
      </c>
      <c r="GW27" s="1332" t="s">
        <v>1852</v>
      </c>
      <c r="GX27" s="1333">
        <f t="shared" si="4"/>
        <v>64</v>
      </c>
      <c r="GY27" s="1333">
        <f t="shared" si="5"/>
        <v>49</v>
      </c>
      <c r="GZ27" s="1333">
        <f t="shared" si="5"/>
        <v>15</v>
      </c>
    </row>
    <row r="28" spans="1:208" ht="13.35" customHeight="1" thickBot="1">
      <c r="A28" s="2123"/>
      <c r="B28" s="2124"/>
      <c r="C28" s="2124"/>
      <c r="D28" s="2124"/>
      <c r="E28" s="2124"/>
      <c r="F28" s="2124"/>
      <c r="G28" s="2124"/>
      <c r="H28" s="2124"/>
      <c r="I28" s="2124"/>
      <c r="J28" s="2124"/>
      <c r="K28" s="2124"/>
      <c r="M28" s="2068"/>
      <c r="N28" s="2068"/>
      <c r="O28" s="2068"/>
      <c r="P28" s="2068"/>
      <c r="R28" s="2125"/>
      <c r="S28" s="2125"/>
      <c r="T28" s="2125"/>
      <c r="U28" s="2125"/>
      <c r="V28" s="2125"/>
      <c r="W28" s="2125"/>
      <c r="X28" s="2044"/>
      <c r="Y28" s="2065"/>
      <c r="Z28" s="2065"/>
      <c r="AA28" s="2065"/>
      <c r="AB28" s="2065"/>
      <c r="AC28" s="2065"/>
      <c r="AD28" s="1753"/>
      <c r="AE28" s="2065"/>
      <c r="AF28" s="2065"/>
      <c r="AG28" s="2065"/>
      <c r="AH28" s="2065"/>
      <c r="AI28" s="2071" t="s">
        <v>2713</v>
      </c>
      <c r="AJ28" s="2071"/>
      <c r="AK28" s="2118">
        <f t="shared" si="6"/>
        <v>58025.75</v>
      </c>
      <c r="AL28" s="2118"/>
      <c r="AM28" s="2118" t="str">
        <f t="shared" si="7"/>
        <v/>
      </c>
      <c r="AN28" s="2118"/>
      <c r="AO28" s="2118">
        <f t="shared" si="8"/>
        <v>46309.558525718909</v>
      </c>
      <c r="AP28" s="2118"/>
      <c r="AQ28" s="2118" t="str">
        <f t="shared" si="9"/>
        <v/>
      </c>
      <c r="AR28" s="2118"/>
      <c r="AS28" s="2118">
        <f t="shared" si="10"/>
        <v>34098.200255552831</v>
      </c>
      <c r="AT28" s="2118"/>
      <c r="AU28" s="2118" t="str">
        <f t="shared" si="11"/>
        <v/>
      </c>
      <c r="AV28" s="2118"/>
      <c r="AW28" s="1327"/>
      <c r="AX28" s="1327"/>
      <c r="AY28" s="1327"/>
      <c r="AZ28" s="1327"/>
      <c r="BA28" s="1327"/>
      <c r="BB28" s="1388"/>
      <c r="BC28" s="1327"/>
      <c r="BD28" s="1327"/>
      <c r="BE28" s="1327"/>
      <c r="BF28" s="1327"/>
      <c r="BG28" s="1327"/>
      <c r="BI28" s="1317"/>
      <c r="BJ28" s="1317"/>
      <c r="BK28" s="1317"/>
      <c r="BL28" s="1317"/>
      <c r="BM28" s="1317"/>
      <c r="BN28" s="1317"/>
      <c r="BO28" s="1317"/>
      <c r="BP28" s="1317"/>
      <c r="BQ28" s="1317"/>
      <c r="BR28" s="1318"/>
      <c r="BS28" s="1318"/>
      <c r="BT28" s="1318"/>
      <c r="BU28" s="1385"/>
      <c r="BV28" s="2121"/>
      <c r="BW28" s="2121"/>
      <c r="BX28" s="2121"/>
      <c r="BY28" s="2121"/>
      <c r="BZ28" s="2121"/>
      <c r="CA28" s="2121"/>
      <c r="CB28" s="2121"/>
      <c r="CC28" s="2121"/>
      <c r="CD28" s="2121"/>
      <c r="CE28" s="2121"/>
      <c r="GJ28" s="1341">
        <v>36</v>
      </c>
      <c r="GK28" s="1341" t="s">
        <v>2708</v>
      </c>
      <c r="GL28" s="1341" t="s">
        <v>2714</v>
      </c>
      <c r="GO28" s="1386" t="s">
        <v>1945</v>
      </c>
      <c r="GP28" s="1329">
        <f>'IND 1.1.1'!I190</f>
        <v>2</v>
      </c>
      <c r="GQ28" s="1329">
        <f>'IND 1.2.1'!K49</f>
        <v>0</v>
      </c>
      <c r="GR28" s="1330">
        <f t="shared" si="0"/>
        <v>2</v>
      </c>
      <c r="GS28" s="1329">
        <f>RANK(GR28,$GR$1:$GR$58,0)+COUNTIF(GR$1:GR28,GR28)-1</f>
        <v>33</v>
      </c>
      <c r="GT28" s="1329">
        <f t="shared" si="1"/>
        <v>33</v>
      </c>
      <c r="GU28" s="1331">
        <f t="shared" si="2"/>
        <v>3.4873583260680037E-4</v>
      </c>
      <c r="GV28" s="1332" t="str">
        <f t="shared" si="3"/>
        <v>Moniteurs-éducateurs et intervenants familiaux</v>
      </c>
      <c r="GW28" s="1332" t="s">
        <v>447</v>
      </c>
      <c r="GX28" s="1333">
        <f t="shared" si="4"/>
        <v>2</v>
      </c>
      <c r="GY28" s="1333">
        <f t="shared" si="5"/>
        <v>2</v>
      </c>
      <c r="GZ28" s="1333">
        <f t="shared" si="5"/>
        <v>0</v>
      </c>
    </row>
    <row r="29" spans="1:208" ht="13.35" customHeight="1" thickBot="1">
      <c r="B29" s="1389" t="str">
        <f>IF($C$29="","","a")</f>
        <v>a</v>
      </c>
      <c r="C29" s="2101" t="str">
        <f>IF($D$71=0,"",IF($I$69=0,"Aucun contractuel non permanent recruté dans le cadre d’un emploi aidé ",IF($I$69&gt;5,ROUND($I$69/$D$71*100,0)&amp;" % des contractuels non permanents recrutés dans le cadre d’un emploi aidé ",IF($I$69&lt;2,"1 contractuel non permanent recruté dans le cadre d’un emploi aidé",$I$69&amp;" contractuels non permanents recrutés dans le cadre d’un emploi aidé"))))</f>
        <v xml:space="preserve">Aucun contractuel non permanent recruté dans le cadre d’un emploi aidé </v>
      </c>
      <c r="D29" s="2101"/>
      <c r="E29" s="2101"/>
      <c r="F29" s="2101"/>
      <c r="G29" s="2101"/>
      <c r="H29" s="2101"/>
      <c r="I29" s="2101"/>
      <c r="J29" s="2101"/>
      <c r="K29" s="2101"/>
      <c r="M29" s="2102" t="str">
        <f>IF($H$85=0," ",IF(D69&lt;2,"Fonctionnaire","Fonctionnaires"))</f>
        <v>Fonctionnaires</v>
      </c>
      <c r="N29" s="2102"/>
      <c r="O29" s="2084">
        <f>IF($H$85=0," ",IF(D69&lt;2,"de "&amp;$H$86-2.5&amp;" à "&amp;$H$86+2.5,$H$86))</f>
        <v>48.846153846153847</v>
      </c>
      <c r="P29" s="2084"/>
      <c r="X29" s="1390"/>
      <c r="Y29" s="2065"/>
      <c r="Z29" s="2065"/>
      <c r="AA29" s="2065"/>
      <c r="AB29" s="2065"/>
      <c r="AC29" s="2065"/>
      <c r="AE29" s="2065"/>
      <c r="AF29" s="2065"/>
      <c r="AG29" s="2065"/>
      <c r="AH29" s="2065"/>
      <c r="AI29" s="2053" t="s">
        <v>2715</v>
      </c>
      <c r="AJ29" s="2053"/>
      <c r="AK29" s="2114" t="str">
        <f t="shared" si="6"/>
        <v/>
      </c>
      <c r="AL29" s="2114"/>
      <c r="AM29" s="2114" t="str">
        <f t="shared" si="7"/>
        <v/>
      </c>
      <c r="AN29" s="2114"/>
      <c r="AO29" s="2114" t="str">
        <f t="shared" si="8"/>
        <v/>
      </c>
      <c r="AP29" s="2114"/>
      <c r="AQ29" s="2114" t="str">
        <f t="shared" si="9"/>
        <v/>
      </c>
      <c r="AR29" s="2114"/>
      <c r="AS29" s="2114" t="str">
        <f t="shared" si="10"/>
        <v/>
      </c>
      <c r="AT29" s="2114"/>
      <c r="AU29" s="2114" t="str">
        <f t="shared" si="11"/>
        <v/>
      </c>
      <c r="AV29" s="2114"/>
      <c r="BB29" s="1388"/>
      <c r="BD29" s="2128"/>
      <c r="BE29" s="2128"/>
      <c r="BF29" s="2128"/>
      <c r="BI29" s="1327"/>
      <c r="BJ29" s="1327"/>
      <c r="BK29" s="1327"/>
      <c r="BL29" s="1327"/>
      <c r="BM29" s="1391"/>
      <c r="BN29" s="1334"/>
      <c r="BO29" s="1327"/>
      <c r="BP29" s="1327"/>
      <c r="BQ29" s="1327"/>
      <c r="BR29" s="1327"/>
      <c r="BS29" s="1327"/>
      <c r="BT29" s="1327"/>
      <c r="BU29" s="1385"/>
      <c r="BV29" s="2122"/>
      <c r="BW29" s="2122"/>
      <c r="BX29" s="2122"/>
      <c r="BY29" s="2122"/>
      <c r="BZ29" s="2122"/>
      <c r="CA29" s="2122"/>
      <c r="CB29" s="2122"/>
      <c r="CC29" s="2122"/>
      <c r="CD29" s="2122"/>
      <c r="CE29" s="2122"/>
      <c r="CG29" s="1392"/>
      <c r="GJ29" s="1341">
        <v>37</v>
      </c>
      <c r="GK29" s="1341" t="s">
        <v>2708</v>
      </c>
      <c r="GL29" s="1341" t="s">
        <v>2716</v>
      </c>
      <c r="GO29" s="1386" t="s">
        <v>2717</v>
      </c>
      <c r="GP29" s="1329">
        <f>'IND 1.1.1'!I195</f>
        <v>337</v>
      </c>
      <c r="GQ29" s="1329">
        <f>'IND 1.2.1'!K50</f>
        <v>153</v>
      </c>
      <c r="GR29" s="1330">
        <f t="shared" si="0"/>
        <v>490</v>
      </c>
      <c r="GS29" s="1329">
        <f>RANK(GR29,$GR$1:$GR$58,0)+COUNTIF(GR$1:GR29,GR29)-1</f>
        <v>3</v>
      </c>
      <c r="GT29" s="1329">
        <f t="shared" si="1"/>
        <v>3</v>
      </c>
      <c r="GU29" s="1331">
        <f t="shared" si="2"/>
        <v>8.5440278988666088E-2</v>
      </c>
      <c r="GV29" s="1332" t="str">
        <f t="shared" si="3"/>
        <v>ATSEM</v>
      </c>
      <c r="GW29" s="1332" t="s">
        <v>375</v>
      </c>
      <c r="GX29" s="1333">
        <f t="shared" si="4"/>
        <v>490</v>
      </c>
      <c r="GY29" s="1333">
        <f t="shared" si="5"/>
        <v>337</v>
      </c>
      <c r="GZ29" s="1333">
        <f t="shared" si="5"/>
        <v>153</v>
      </c>
    </row>
    <row r="30" spans="1:208" ht="13.35" customHeight="1" thickTop="1">
      <c r="B30" s="1389" t="str">
        <f>IF($C$30=" "," ","a")</f>
        <v>a</v>
      </c>
      <c r="C30" s="2101" t="str">
        <f>IF($D$71=0," ",IF($I$71=0,"Aucun contractuel non permanent recruté comme saisonnier ou occasionnel",(IF($I$71&gt;5,ROUND($I$71/D71*100,0)&amp;" % des contractuels non permanents recrutés comme saisonniers ou occasionnels",IF($I$71&lt;2,$I$71&amp;" contractuel non permanent recruté comme saisonnier ou occasionnel",$I$71&amp;" contractuels non permanents recrutés comme saisonniers ou occasionnels")))))</f>
        <v>1 % des contractuels non permanents recrutés comme saisonniers ou occasionnels</v>
      </c>
      <c r="D30" s="2101"/>
      <c r="E30" s="2101"/>
      <c r="F30" s="2101"/>
      <c r="G30" s="2101"/>
      <c r="H30" s="2101"/>
      <c r="I30" s="2101"/>
      <c r="J30" s="2101"/>
      <c r="K30" s="2101"/>
      <c r="M30" s="2083"/>
      <c r="N30" s="2083"/>
      <c r="O30" s="2085"/>
      <c r="P30" s="2085"/>
      <c r="Q30" s="1393"/>
      <c r="R30" s="1393"/>
      <c r="X30" s="1390"/>
      <c r="Y30" s="2115" t="str">
        <f>IF(AB71+AA71=0,"",IF(AB71=0,"Aucune nomination concerne des femmes","dont "&amp;TEXT(AB72,"#0%")&amp;" des nominations concernent des femmes"))</f>
        <v>dont 47% des nominations concernent des femmes</v>
      </c>
      <c r="Z30" s="2115"/>
      <c r="AA30" s="2115"/>
      <c r="AB30" s="2115"/>
      <c r="AC30" s="2115"/>
      <c r="AE30" s="2115" t="str">
        <f>IF(AB73+AA73=0,"",IF(AB73=0,"Aucune nomination concerne des femmes","dont "&amp;TEXT(AB74,"#0%")&amp;" des nominations concernent des femmes"))</f>
        <v>dont 33% des nominations concernent des femmes</v>
      </c>
      <c r="AF30" s="2115"/>
      <c r="AG30" s="2115"/>
      <c r="AH30" s="2115"/>
      <c r="AI30" s="2113" t="s">
        <v>2718</v>
      </c>
      <c r="AJ30" s="2113"/>
      <c r="AK30" s="2106" t="str">
        <f t="shared" si="6"/>
        <v/>
      </c>
      <c r="AL30" s="2106"/>
      <c r="AM30" s="2106" t="str">
        <f t="shared" si="7"/>
        <v/>
      </c>
      <c r="AN30" s="2106"/>
      <c r="AO30" s="2106">
        <f t="shared" si="8"/>
        <v>28225.21212121212</v>
      </c>
      <c r="AP30" s="2106"/>
      <c r="AQ30" s="2106">
        <f t="shared" si="9"/>
        <v>30550.285714285714</v>
      </c>
      <c r="AR30" s="2106"/>
      <c r="AS30" s="2106">
        <f t="shared" si="10"/>
        <v>23666.564693179775</v>
      </c>
      <c r="AT30" s="2106"/>
      <c r="AU30" s="2106">
        <f t="shared" si="11"/>
        <v>22706.192519926422</v>
      </c>
      <c r="AV30" s="2106"/>
      <c r="AW30" s="1334" t="s">
        <v>2640</v>
      </c>
      <c r="AX30" s="2065" t="str">
        <f>IF(D69+D70=0,"Aucun agent dans la collectivité",IF('IND 4.2.1'!C101+'IND 4.2.1'!D101+'IND 4.2.1'!G101+'IND 4.2.1'!H101=0,"Aucun accident du travail déclaré en 2020",IF('IND 4.2.1'!C101+'IND 4.2.1'!D101+'IND 4.2.1'!G101+'IND 4.2.1'!H101&gt;1,'IND 4.2.1'!C101+'IND 4.2.1'!D101+'IND 4.2.1'!G101+'IND 4.2.1'!H101&amp;" accidents du travail déclarés au total en 2020",'IND 4.2.1'!C101+'IND 4.2.1'!D101+'IND 4.2.1'!G101+'IND 4.2.1'!H101&amp;" seul accident du travail déclaré au total en 2020")))</f>
        <v>329 accidents du travail déclarés au total en 2020</v>
      </c>
      <c r="AY30" s="2065"/>
      <c r="AZ30" s="2065"/>
      <c r="BA30" s="2065"/>
      <c r="BB30" s="1388"/>
      <c r="BC30" s="1383"/>
      <c r="BI30" s="1334" t="str">
        <f>"Æ"</f>
        <v>Æ</v>
      </c>
      <c r="BJ30" s="2065" t="str">
        <f>IF(AND(BV63=0,BV64=0,BX63=0,BX64=0),"Aucune information relative à la participation aux contrats de protection sociale complémentaire ",IF(AND(BV63=1,BV64=1,BX63=1,BX64=1),"La collectivité ne participe ni à la complémentaire santé de ses agents, ni aux contrats de prévoyance",IF(AND(OR(BV63=2,BV64=2),OR(BX63=2,BX64=2)),"La collectivité participe à la complémentaire santé et aux contrats de prévoyance",IF(OR(BV63=2,BV64=2),"La collectivité participe financièrement à la complémentaire santé",IF(OR(BX63=2,BX64=2),"La collectivité participe aux contrats de prévoyance ","")))))</f>
        <v>La collectivité participe à la complémentaire santé et aux contrats de prévoyance</v>
      </c>
      <c r="BK30" s="2065"/>
      <c r="BL30" s="2065"/>
      <c r="BM30" s="2065"/>
      <c r="BN30" s="2065"/>
      <c r="BO30" s="1334" t="str">
        <f>"Æ"</f>
        <v>Æ</v>
      </c>
      <c r="BP30" s="2065" t="s">
        <v>2719</v>
      </c>
      <c r="BQ30" s="2065"/>
      <c r="BR30" s="2065"/>
      <c r="BS30" s="2065"/>
      <c r="BT30" s="2065"/>
      <c r="BU30" s="2100" t="s">
        <v>2720</v>
      </c>
      <c r="BV30" s="2100"/>
      <c r="BW30" s="2100"/>
      <c r="BX30" s="2100"/>
      <c r="BY30" s="2100"/>
      <c r="BZ30" s="2100"/>
      <c r="CA30" s="2100"/>
      <c r="CB30" s="2100"/>
      <c r="CC30" s="2100"/>
      <c r="CD30" s="2100"/>
      <c r="CE30" s="2100"/>
      <c r="GJ30" s="1341">
        <v>41</v>
      </c>
      <c r="GK30" s="1341" t="s">
        <v>2708</v>
      </c>
      <c r="GL30" s="1341" t="s">
        <v>2721</v>
      </c>
      <c r="GO30" s="1386" t="s">
        <v>1947</v>
      </c>
      <c r="GP30" s="1329">
        <f>'IND 1.1.1'!I202</f>
        <v>0</v>
      </c>
      <c r="GQ30" s="1329">
        <f>'IND 1.2.1'!K51</f>
        <v>0</v>
      </c>
      <c r="GR30" s="1330">
        <f t="shared" si="0"/>
        <v>0</v>
      </c>
      <c r="GS30" s="1329">
        <f>RANK(GR30,$GR$1:$GR$58,0)+COUNTIF(GR$1:GR30,GR30)-1</f>
        <v>41</v>
      </c>
      <c r="GT30" s="1329">
        <f t="shared" si="1"/>
        <v>41</v>
      </c>
      <c r="GU30" s="1331">
        <f t="shared" si="2"/>
        <v>0</v>
      </c>
      <c r="GV30" s="1332" t="str">
        <f t="shared" si="3"/>
        <v>Agents sociaux</v>
      </c>
      <c r="GW30" s="1332" t="s">
        <v>375</v>
      </c>
      <c r="GX30" s="1333">
        <f t="shared" si="4"/>
        <v>0</v>
      </c>
      <c r="GY30" s="1333">
        <f t="shared" si="5"/>
        <v>0</v>
      </c>
      <c r="GZ30" s="1333">
        <f t="shared" si="5"/>
        <v>0</v>
      </c>
    </row>
    <row r="31" spans="1:208" ht="13.35" customHeight="1">
      <c r="B31" s="1389" t="str">
        <f>IF($C$30=" "," ","a")</f>
        <v>a</v>
      </c>
      <c r="C31" s="2101" t="str">
        <f>"Personnel temporaire intervenu en 2020 : "&amp; IF(SUM('IND 1.3.2'!$E$14:$F$14)=0,"aucun agent du Centre de Gestion et ",IF(SUM('IND 1.3.2'!$E$14:$F$14)=1,"un agent du Centre de Gestion et ",IF(SUM('IND 1.3.2'!$E$14:$F$14)=1,"un agent du Centre de Gestion et ",SUM('IND 1.3.2'!$E$14:$F$14)&amp;" agents du Centre de Gestion et ")))&amp;
IF(SUM('IND 1.3.2'!$E$26:$F$26)=0,"aucun intérimaire",IF(SUM('IND 1.3.2'!$E$26:$F$26)=1,"un intérimaire",IF(SUM('IND 1.3.2'!$E$26:$F$26)=1,"un intérimaire ",SUM('IND 1.3.2'!$E$26:$F$26)&amp;" intérimaires")))</f>
        <v>Personnel temporaire intervenu en 2020 : aucun agent du Centre de Gestion et aucun intérimaire</v>
      </c>
      <c r="D31" s="2101"/>
      <c r="E31" s="2101"/>
      <c r="F31" s="2101"/>
      <c r="G31" s="2101"/>
      <c r="H31" s="2101"/>
      <c r="I31" s="2101"/>
      <c r="J31" s="2101"/>
      <c r="K31" s="2101"/>
      <c r="M31" s="2102" t="str">
        <f>IF($I$85=0," ",IF(D70&lt;2,"Contractuel permanent","Contractuels permanents"))</f>
        <v>Contractuels permanents</v>
      </c>
      <c r="N31" s="2102"/>
      <c r="O31" s="2084">
        <f>IF($I$85=0," ",IF(D70&lt;2,"de "&amp;$I$86-2.5&amp;" à "&amp;$I$86+2.5,$I$86))</f>
        <v>40.002780867630698</v>
      </c>
      <c r="P31" s="2084"/>
      <c r="Q31" s="1393"/>
      <c r="R31" s="1393"/>
      <c r="AI31" s="2104" t="s">
        <v>2722</v>
      </c>
      <c r="AJ31" s="2104"/>
      <c r="AK31" s="2105">
        <f t="shared" si="6"/>
        <v>48703.096098649949</v>
      </c>
      <c r="AL31" s="2105"/>
      <c r="AM31" s="2105">
        <f t="shared" si="7"/>
        <v>51764.506769825915</v>
      </c>
      <c r="AN31" s="2105"/>
      <c r="AO31" s="2105">
        <f t="shared" si="8"/>
        <v>36202.071232039132</v>
      </c>
      <c r="AP31" s="2105"/>
      <c r="AQ31" s="2105">
        <f t="shared" si="9"/>
        <v>32077.292377701931</v>
      </c>
      <c r="AR31" s="2105"/>
      <c r="AS31" s="2105">
        <f t="shared" si="10"/>
        <v>27329.469931945121</v>
      </c>
      <c r="AT31" s="2105"/>
      <c r="AU31" s="2105">
        <f t="shared" si="11"/>
        <v>25213.222504425459</v>
      </c>
      <c r="AV31" s="2105"/>
      <c r="AX31" s="2065"/>
      <c r="AY31" s="2065"/>
      <c r="AZ31" s="2065"/>
      <c r="BA31" s="2065"/>
      <c r="BB31" s="1388"/>
      <c r="BC31" s="1334" t="s">
        <v>2640</v>
      </c>
      <c r="BD31" s="2107" t="str">
        <f>IF('IND 4.1.1-4.1.2'!B9=1,"ASSISTANT DE PRÉVENTION","ASSISTANTS DE PRÉVENTION")</f>
        <v>ASSISTANTS DE PRÉVENTION</v>
      </c>
      <c r="BE31" s="2107"/>
      <c r="BF31" s="2107"/>
      <c r="BG31" s="2107"/>
      <c r="BH31" s="2107"/>
      <c r="BI31" s="1327"/>
      <c r="BJ31" s="2065"/>
      <c r="BK31" s="2065"/>
      <c r="BL31" s="2065"/>
      <c r="BM31" s="2065"/>
      <c r="BN31" s="2065"/>
      <c r="BP31" s="2065"/>
      <c r="BQ31" s="2065"/>
      <c r="BR31" s="2065"/>
      <c r="BS31" s="2065"/>
      <c r="BT31" s="2065"/>
      <c r="BU31" s="2100"/>
      <c r="BV31" s="2100"/>
      <c r="BW31" s="2100"/>
      <c r="BX31" s="2100"/>
      <c r="BY31" s="2100"/>
      <c r="BZ31" s="2100"/>
      <c r="CA31" s="2100"/>
      <c r="CB31" s="2100"/>
      <c r="CC31" s="2100"/>
      <c r="CD31" s="2100"/>
      <c r="CE31" s="2100"/>
      <c r="GJ31" s="1341">
        <v>45</v>
      </c>
      <c r="GK31" s="1341" t="s">
        <v>2708</v>
      </c>
      <c r="GL31" s="1341" t="s">
        <v>2723</v>
      </c>
      <c r="GO31" s="1394" t="s">
        <v>1948</v>
      </c>
      <c r="GP31" s="1329">
        <f>'IND 1.1.1'!I211</f>
        <v>2</v>
      </c>
      <c r="GQ31" s="1329">
        <f>'IND 1.2.1'!K54</f>
        <v>1</v>
      </c>
      <c r="GR31" s="1330">
        <f t="shared" si="0"/>
        <v>3</v>
      </c>
      <c r="GS31" s="1329">
        <f>RANK(GR31,$GR$1:$GR$58,0)+COUNTIF(GR$1:GR31,GR31)-1</f>
        <v>31</v>
      </c>
      <c r="GT31" s="1329">
        <f t="shared" si="1"/>
        <v>31</v>
      </c>
      <c r="GU31" s="1331">
        <f t="shared" si="2"/>
        <v>5.2310374891020048E-4</v>
      </c>
      <c r="GV31" s="1332" t="str">
        <f t="shared" si="3"/>
        <v>Médecins</v>
      </c>
      <c r="GW31" s="1332" t="s">
        <v>1852</v>
      </c>
      <c r="GX31" s="1333">
        <f t="shared" si="4"/>
        <v>3</v>
      </c>
      <c r="GY31" s="1333">
        <f t="shared" si="5"/>
        <v>2</v>
      </c>
      <c r="GZ31" s="1333">
        <f t="shared" si="5"/>
        <v>1</v>
      </c>
    </row>
    <row r="32" spans="1:208" ht="13.35" customHeight="1">
      <c r="M32" s="2083"/>
      <c r="N32" s="2083"/>
      <c r="O32" s="2085"/>
      <c r="P32" s="2085"/>
      <c r="Q32" s="1395"/>
      <c r="R32" s="1395"/>
      <c r="X32" s="2044" t="s">
        <v>2640</v>
      </c>
      <c r="Y32" s="2065" t="str">
        <f>IF(B20=0," ",
IF((AF66+AG66)=0,"Aucun lauréat d'un concours",IF(AF66+AG66&lt;2,AF66+AG66&amp;" lauréat d'un concours "&amp;IF(AF67+AG67=0,"nommé","n'ayant pas été nommé"),AF66+AG66&amp;" lauréats d'un concours "&amp;IF(AF67+AG67=0,"nommés",IF(AF66+AG66=AF67+AG67,"n'ayant pas été nommés","dont "&amp;AG67+AF67&amp;" n'ayant pas été nommés")))))</f>
        <v>16 lauréats d'un concours nommés</v>
      </c>
      <c r="Z32" s="2065"/>
      <c r="AA32" s="2065"/>
      <c r="AB32" s="2065"/>
      <c r="AC32" s="2065"/>
      <c r="AI32" s="1373"/>
      <c r="AJ32" s="1373"/>
      <c r="AK32" s="1396"/>
      <c r="AL32" s="1396"/>
      <c r="AM32" s="1397"/>
      <c r="AN32" s="1397"/>
      <c r="AO32" s="1398" t="s">
        <v>2724</v>
      </c>
      <c r="AP32" s="1397"/>
      <c r="AQ32" s="1397"/>
      <c r="AR32" s="1397"/>
      <c r="AS32" s="1397"/>
      <c r="AT32" s="1397"/>
      <c r="AU32" s="1397"/>
      <c r="AV32" s="1397"/>
      <c r="AX32" s="2065"/>
      <c r="AY32" s="2065"/>
      <c r="AZ32" s="2065"/>
      <c r="BA32" s="2065"/>
      <c r="BB32" s="1399"/>
      <c r="BC32" s="1383"/>
      <c r="BD32" s="2076" t="str">
        <f>IF('IND 4.1.1-4.1.2'!B9=0,"Aucun assistant de prévention désigné dans la collectivité",IF('IND 4.1.1-4.1.2'!B9&lt;2,'IND 4.1.1-4.1.2'!B9&amp;" assistant de prévention désigné dans la collectivité",'IND 4.1.1-4.1.2'!B9&amp;" assistants de prévention désignés dans la collectivité"))</f>
        <v>111 assistants de prévention désignés dans la collectivité</v>
      </c>
      <c r="BE32" s="2076"/>
      <c r="BF32" s="2076"/>
      <c r="BG32" s="2076"/>
      <c r="BH32" s="2076"/>
      <c r="BI32" s="1327"/>
      <c r="BJ32" s="2065"/>
      <c r="BK32" s="2065"/>
      <c r="BL32" s="2065"/>
      <c r="BM32" s="2065"/>
      <c r="BN32" s="2065"/>
      <c r="BP32" s="1400"/>
      <c r="BQ32" s="1400"/>
      <c r="BR32" s="1400"/>
      <c r="BS32" s="1327"/>
      <c r="BT32" s="1320"/>
      <c r="BU32" s="1366"/>
      <c r="CG32" s="1401"/>
      <c r="GJ32" s="1341">
        <v>8</v>
      </c>
      <c r="GK32" s="1341" t="s">
        <v>2725</v>
      </c>
      <c r="GL32" s="1341" t="s">
        <v>2726</v>
      </c>
      <c r="GO32" s="1394" t="s">
        <v>2727</v>
      </c>
      <c r="GP32" s="1329">
        <f>'IND 1.1.1'!I216</f>
        <v>2</v>
      </c>
      <c r="GQ32" s="1329">
        <f>'IND 1.2.1'!K55</f>
        <v>0</v>
      </c>
      <c r="GR32" s="1330">
        <f t="shared" si="0"/>
        <v>2</v>
      </c>
      <c r="GS32" s="1329">
        <f>RANK(GR32,$GR$1:$GR$58,0)+COUNTIF(GR$1:GR32,GR32)-1</f>
        <v>34</v>
      </c>
      <c r="GT32" s="1329">
        <f t="shared" si="1"/>
        <v>34</v>
      </c>
      <c r="GU32" s="1331">
        <f t="shared" si="2"/>
        <v>3.4873583260680037E-4</v>
      </c>
      <c r="GV32" s="1332" t="str">
        <f t="shared" si="3"/>
        <v>Psychologues</v>
      </c>
      <c r="GW32" s="1332" t="s">
        <v>1852</v>
      </c>
      <c r="GX32" s="1333">
        <f t="shared" si="4"/>
        <v>2</v>
      </c>
      <c r="GY32" s="1333">
        <f t="shared" si="5"/>
        <v>2</v>
      </c>
      <c r="GZ32" s="1333">
        <f t="shared" si="5"/>
        <v>0</v>
      </c>
    </row>
    <row r="33" spans="1:208" ht="13.35" customHeight="1" thickBot="1">
      <c r="B33" s="1402"/>
      <c r="C33" s="1402"/>
      <c r="D33" s="1402"/>
      <c r="E33" s="1402"/>
      <c r="F33" s="1402"/>
      <c r="G33" s="1316"/>
      <c r="H33" s="1316"/>
      <c r="I33" s="1316"/>
      <c r="J33" s="1316"/>
      <c r="K33" s="1316"/>
      <c r="M33" s="2108" t="str">
        <f>IF($K$85=0," ",IF(D69+D70&lt;2," ","Ensemble des permanents"))</f>
        <v>Ensemble des permanents</v>
      </c>
      <c r="N33" s="2108"/>
      <c r="O33" s="2110">
        <f>IF($K$85=0," ",IF(D69+D70&lt;2," ",$K$86))</f>
        <v>47.45989537925022</v>
      </c>
      <c r="P33" s="2110"/>
      <c r="Q33" s="1395"/>
      <c r="R33" s="1395"/>
      <c r="X33" s="2044"/>
      <c r="Y33" s="2065"/>
      <c r="Z33" s="2065"/>
      <c r="AA33" s="2065"/>
      <c r="AB33" s="2065"/>
      <c r="AC33" s="2065"/>
      <c r="AW33" s="1403" t="str">
        <f>IF(AX33="","","&gt;")</f>
        <v>&gt;</v>
      </c>
      <c r="AX33" s="2112" t="str">
        <f>IF('IND 4.2.1'!C101+'IND 4.2.1'!D101+'IND 4.2.1'!G101+'IND 4.2.1'!H101=0,"",
IF(D69+D70+D71&lt;=100,
IF('IND 4.2.1'!C101+'IND 4.2.1'!D101+'IND 4.2.1'!G101+'IND 4.2.1'!H101&lt;2,('IND 4.2.1'!C101+'IND 4.2.1'!D101+'IND 4.2.1'!G101+'IND 4.2.1'!H101)&amp;" accident du travail pour ",('IND 4.2.1'!C101+'IND 4.2.1'!D101+'IND 4.2.1'!G101+'IND 4.2.1'!H101)&amp;" accidents du travail pour ")&amp;IF(D69+D70+D71&lt;1,D69+D70+D71 &amp;" agent en position d'activité au 31 décembre 2020",D69+D70+D71&amp;" agents en position d'activité au 31 décembre 2020"),IF(ROUND((('IND 4.2.1'!C101+'IND 4.2.1'!D101+'IND 4.2.1'!G101+'IND 4.2.1'!H101)/(D69+D70+D71))*100,1)&lt;2,ROUND((('IND 4.2.1'!C101+'IND 4.2.1'!D101+'IND 4.2.1'!G101+'IND 4.2.1'!H101)/(D69+D70+D71))*100,1)&amp;" accident du travail pour 100 agents",ROUND((('IND 4.2.1'!C101+'IND 4.2.1'!D101+'IND 4.2.1'!G101+'IND 4.2.1'!H101)/(D69+D70+D71))*100,1)&amp;" accidents du travail pour 100 agents")))</f>
        <v>4,4 accidents du travail pour 100 agents</v>
      </c>
      <c r="AY33" s="2112"/>
      <c r="AZ33" s="2112"/>
      <c r="BA33" s="2112"/>
      <c r="BB33" s="1388"/>
      <c r="BC33" s="1383"/>
      <c r="BD33" s="2076"/>
      <c r="BE33" s="2076"/>
      <c r="BF33" s="2076"/>
      <c r="BG33" s="2076"/>
      <c r="BH33" s="2076"/>
      <c r="BI33" s="1327"/>
      <c r="BJ33" s="2065"/>
      <c r="BK33" s="2065"/>
      <c r="BL33" s="2065"/>
      <c r="BM33" s="2065"/>
      <c r="BN33" s="2065"/>
      <c r="BP33" s="2076" t="str">
        <f>IF('IND 7.1.1-7.1.3'!$B$21="Oui","La collectivité cotise auprès d'un Comité d'Œuvres Sociales","La collectivité ne cotise pas auprès d'un Comité d'Œuvres Sociales")</f>
        <v>La collectivité cotise auprès d'un Comité d'Œuvres Sociales</v>
      </c>
      <c r="BQ33" s="2076"/>
      <c r="BR33" s="2076"/>
      <c r="BS33" s="2076"/>
      <c r="BT33" s="2076"/>
      <c r="BU33" s="1334" t="s">
        <v>2640</v>
      </c>
      <c r="BV33" s="1404" t="s">
        <v>2728</v>
      </c>
      <c r="BW33" s="1404"/>
      <c r="BX33" s="1404"/>
      <c r="BY33" s="1404"/>
      <c r="BZ33" s="1404"/>
      <c r="CA33" s="1404"/>
      <c r="CB33" s="1404"/>
      <c r="CC33" s="1404"/>
      <c r="CD33" s="1404"/>
      <c r="CE33" s="1404"/>
      <c r="GJ33" s="1341">
        <v>10</v>
      </c>
      <c r="GK33" s="1341" t="s">
        <v>2725</v>
      </c>
      <c r="GL33" s="1341" t="s">
        <v>2729</v>
      </c>
      <c r="GO33" s="1394" t="s">
        <v>1950</v>
      </c>
      <c r="GP33" s="1329">
        <f>'IND 1.1.1'!I221</f>
        <v>0</v>
      </c>
      <c r="GQ33" s="1329">
        <f>'IND 1.2.1'!K56</f>
        <v>0</v>
      </c>
      <c r="GR33" s="1330">
        <f t="shared" si="0"/>
        <v>0</v>
      </c>
      <c r="GS33" s="1329">
        <f>RANK(GR33,$GR$1:$GR$58,0)+COUNTIF(GR$1:GR33,GR33)-1</f>
        <v>42</v>
      </c>
      <c r="GT33" s="1329">
        <f t="shared" si="1"/>
        <v>42</v>
      </c>
      <c r="GU33" s="1331">
        <f t="shared" si="2"/>
        <v>0</v>
      </c>
      <c r="GV33" s="1332" t="str">
        <f t="shared" si="3"/>
        <v>Sages-femmes</v>
      </c>
      <c r="GW33" s="1332" t="s">
        <v>1852</v>
      </c>
      <c r="GX33" s="1333">
        <f t="shared" si="4"/>
        <v>0</v>
      </c>
      <c r="GY33" s="1333">
        <f t="shared" si="5"/>
        <v>0</v>
      </c>
      <c r="GZ33" s="1333">
        <f t="shared" si="5"/>
        <v>0</v>
      </c>
    </row>
    <row r="34" spans="1:208" ht="13.35" customHeight="1">
      <c r="A34" s="1325"/>
      <c r="B34" s="1325"/>
      <c r="C34" s="1325"/>
      <c r="D34" s="1325"/>
      <c r="E34" s="1325"/>
      <c r="F34" s="1325"/>
      <c r="G34" s="1325"/>
      <c r="H34" s="1325"/>
      <c r="I34" s="1325"/>
      <c r="J34" s="1325"/>
      <c r="K34" s="1325"/>
      <c r="M34" s="2109"/>
      <c r="N34" s="2109"/>
      <c r="O34" s="2111"/>
      <c r="P34" s="2111"/>
      <c r="Q34" s="1393"/>
      <c r="R34" s="1393"/>
      <c r="Y34" s="2065"/>
      <c r="Z34" s="2065"/>
      <c r="AA34" s="2065"/>
      <c r="AB34" s="2065"/>
      <c r="AC34" s="2065"/>
      <c r="AD34" s="2087" t="s">
        <v>2640</v>
      </c>
      <c r="AE34" s="2088" t="str">
        <f>IF((B20+B21)=0," ",IF(SUM('IND 1.5.7'!$B$8:$C$10)=0,"Aucun agent n'a bénéficié d'un accompagnement par un conseiller en évolution professionnelle",IF(SUM('IND 1.5.7'!$B$8:$C$10)=1,"Un agent a bénéficié d'un accompagnement par un conseiller en évolution professionnelle",SUM('IND 1.5.7'!$B$8:$C$10)&amp; " agents ont bénéficié d'un accompagnement par un conseiller en évolution professionnelle")))</f>
        <v>36 agents ont bénéficié d'un accompagnement par un conseiller en évolution professionnelle</v>
      </c>
      <c r="AF34" s="2088"/>
      <c r="AG34" s="2088"/>
      <c r="AH34" s="2088"/>
      <c r="AI34" s="2010" t="s">
        <v>2640</v>
      </c>
      <c r="AJ34" s="2064" t="str">
        <f>IF(D69+D70=0,"Aucun agent dans la collectivité",IF(D69+D70=1,"La collectivité consacre " &amp;TEXT((AP10/AL6)*100,"##,0")&amp;" % de son budget de fonctionnement à la rémunération de l'agent permanent",IF(AP12=0,"La collectivité consacre " &amp;TEXT((AP10/AL6)*100,"##,0")&amp;" % de son budget de fonctionnement à la rémunération des agents permanents","La part du régime indemnitaire sur les rémunérations annuelles brutes pour l'ensemble des agents permanents est de " &amp; (ROUND(AN44, 4))*100 &amp; " %")))</f>
        <v>La part du régime indemnitaire sur les rémunérations annuelles brutes pour l'ensemble des agents permanents est de 18,66 %</v>
      </c>
      <c r="AK34" s="2064"/>
      <c r="AL34" s="2064"/>
      <c r="AM34" s="2064"/>
      <c r="AN34" s="2064"/>
      <c r="AO34" s="2064"/>
      <c r="AP34" s="2064"/>
      <c r="AQ34" s="2064"/>
      <c r="AR34" s="2064"/>
      <c r="AS34" s="2064"/>
      <c r="AT34" s="2064"/>
      <c r="AU34" s="2064"/>
      <c r="AV34" s="2064"/>
      <c r="AW34" s="1403"/>
      <c r="AX34" s="2112"/>
      <c r="AY34" s="2112"/>
      <c r="AZ34" s="2112"/>
      <c r="BA34" s="2112"/>
      <c r="BB34" s="1388"/>
      <c r="BC34" s="1383"/>
      <c r="BD34" s="1405" t="str">
        <f>IF('IND 4.1.1-4.1.2'!B10=0," ",IF('IND 4.1.1-4.1.2'!B10&lt;2,'IND 4.1.1-4.1.2'!B10&amp;" conseiller de prévention ",'IND 4.1.1-4.1.2'!B10&amp;" conseillers de prévention"))</f>
        <v>7 conseillers de prévention</v>
      </c>
      <c r="BE34" s="1406"/>
      <c r="BF34" s="1406"/>
      <c r="BG34" s="1406"/>
      <c r="BH34" s="1407"/>
      <c r="BI34" s="1327"/>
      <c r="BJ34" s="2089" t="str">
        <f>IF('IND 7.1.4'!$B$27+'IND 7.1.4'!$C$27=0,"","Montants annuels")</f>
        <v>Montants annuels</v>
      </c>
      <c r="BK34" s="2089"/>
      <c r="BL34" s="2089"/>
      <c r="BM34" s="2091" t="str">
        <f>IF(BM36="","","Santé")</f>
        <v>Santé</v>
      </c>
      <c r="BN34" s="2091" t="str">
        <f>IF(BN36=""," ","Prévoyance")</f>
        <v>Prévoyance</v>
      </c>
      <c r="BP34" s="2076"/>
      <c r="BQ34" s="2076"/>
      <c r="BR34" s="2076"/>
      <c r="BS34" s="2076"/>
      <c r="BT34" s="2076"/>
      <c r="BU34" s="1366"/>
      <c r="CH34" s="1366"/>
      <c r="CI34" s="1366"/>
      <c r="CJ34" s="1366"/>
      <c r="GJ34" s="1341">
        <v>51</v>
      </c>
      <c r="GK34" s="1341" t="s">
        <v>2725</v>
      </c>
      <c r="GL34" s="1341" t="s">
        <v>2730</v>
      </c>
      <c r="GO34" s="1394" t="s">
        <v>1099</v>
      </c>
      <c r="GP34" s="1329">
        <f>'IND 1.1.1'!I227</f>
        <v>11</v>
      </c>
      <c r="GQ34" s="1329">
        <f>'IND 1.2.1'!K57</f>
        <v>0</v>
      </c>
      <c r="GR34" s="1330">
        <f t="shared" si="0"/>
        <v>11</v>
      </c>
      <c r="GS34" s="1329">
        <f>RANK(GR34,$GR$1:$GR$58,0)+COUNTIF(GR$1:GR34,GR34)-1</f>
        <v>24</v>
      </c>
      <c r="GT34" s="1329">
        <f t="shared" si="1"/>
        <v>24</v>
      </c>
      <c r="GU34" s="1331">
        <f t="shared" si="2"/>
        <v>1.9180470793374019E-3</v>
      </c>
      <c r="GV34" s="1332" t="str">
        <f t="shared" si="3"/>
        <v>CADRES DE SANTE PARAMEDICAUX</v>
      </c>
      <c r="GW34" s="1332" t="s">
        <v>1852</v>
      </c>
      <c r="GX34" s="1333">
        <f t="shared" si="4"/>
        <v>11</v>
      </c>
      <c r="GY34" s="1333">
        <f t="shared" si="5"/>
        <v>11</v>
      </c>
      <c r="GZ34" s="1333">
        <f t="shared" si="5"/>
        <v>0</v>
      </c>
    </row>
    <row r="35" spans="1:208" ht="13.35" customHeight="1" thickBot="1">
      <c r="A35" s="2010" t="s">
        <v>2640</v>
      </c>
      <c r="B35" s="2064" t="str">
        <f>IF(D69+D70+D71&lt;2,"Répartition par filière","Répartition par filière et par statut")</f>
        <v>Répartition par filière et par statut</v>
      </c>
      <c r="C35" s="2064"/>
      <c r="D35" s="2064"/>
      <c r="E35" s="2064"/>
      <c r="F35" s="2064"/>
      <c r="G35" s="2044" t="s">
        <v>2640</v>
      </c>
      <c r="H35" s="2065" t="str">
        <f>IF(D69+D70+D71&lt;2,"Répartition par catégorie","Répartition des agents par catégorie")</f>
        <v>Répartition des agents par catégorie</v>
      </c>
      <c r="I35" s="2065"/>
      <c r="J35" s="2065"/>
      <c r="K35" s="2065"/>
      <c r="Q35" s="1408"/>
      <c r="R35" s="1393"/>
      <c r="Y35" s="2115" t="str">
        <f>IF(AB75+AA75=0,"",IF(AB75=0,"Aucune nomination concerne des femmes","dont "&amp;TEXT(AB76,"#0%")&amp;" des nominations concernent des femmes"))</f>
        <v>dont 81% des nominations concernent des femmes</v>
      </c>
      <c r="Z35" s="2115"/>
      <c r="AA35" s="2115"/>
      <c r="AB35" s="2115"/>
      <c r="AC35" s="2115"/>
      <c r="AD35" s="2087"/>
      <c r="AE35" s="2088"/>
      <c r="AF35" s="2088"/>
      <c r="AG35" s="2088"/>
      <c r="AH35" s="2088"/>
      <c r="AI35" s="2010"/>
      <c r="AJ35" s="2064"/>
      <c r="AK35" s="2064"/>
      <c r="AL35" s="2064"/>
      <c r="AM35" s="2064"/>
      <c r="AN35" s="2064"/>
      <c r="AO35" s="2064"/>
      <c r="AP35" s="2064"/>
      <c r="AQ35" s="2064"/>
      <c r="AR35" s="2064"/>
      <c r="AS35" s="2064"/>
      <c r="AT35" s="2064"/>
      <c r="AU35" s="2064"/>
      <c r="AV35" s="2064"/>
      <c r="AW35" s="1403" t="str">
        <f>IF(OR(AX35="",AX35=" "),"","&gt;")</f>
        <v>&gt;</v>
      </c>
      <c r="AX35" s="2066" t="str">
        <f>IF('IND 4.2.1'!C101+'IND 4.2.1'!D101+'IND 4.2.1'!G101+'IND 4.2.1'!H101=0,"",
(IF('IND 4.2.1'!C101+'IND 4.2.1'!D101+'IND 4.2.1'!G101+'IND 4.2.1'!H101&lt;2," ",IF('IND 4.2.1'!C101+'IND 4.2.1'!D101+'IND 4.2.1'!G101+'IND 4.2.1'!H101=0,"Les accidents de travail déclarés en 2020 n'ont été suivis d'aucun jour d'arrêt de travail",
IF(('IND 4.2.1'!K101+'IND 4.2.1'!L101+'IND 4.2.1'!M101+'IND 4.2.1'!N101)/('IND 4.2.1'!C101+'IND 4.2.1'!D101+'IND 4.2.1'!G101+'IND 4.2.1'!H101)&gt;1, "En moyenne, "&amp;
ROUND(('IND 4.2.1'!K101+'IND 4.2.1'!L101+'IND 4.2.1'!M101+'IND 4.2.1'!N101)/('IND 4.2.1'!C101+'IND 4.2.1'!D101+'IND 4.2.1'!G101+'IND 4.2.1'!H101),0)&amp;" jours d'absence consécutifs par accident du travail", "En moyenne, "&amp;ROUND(('IND 4.2.1'!K101+'IND 4.2.1'!L101+'IND 4.2.1'!M101+'IND 4.2.1'!N101)/('IND 4.2.1'!C101+'IND 4.2.1'!D101+'IND 4.2.1'!G101+'IND 4.2.1'!H101),0)&amp;" jour d'absence consécutif par accident du travail")))))</f>
        <v>En moyenne, 70 jours d'absence consécutifs par accident du travail</v>
      </c>
      <c r="AY35" s="2066"/>
      <c r="AZ35" s="2066"/>
      <c r="BA35" s="2066"/>
      <c r="BB35" s="1388"/>
      <c r="BI35" s="1327"/>
      <c r="BJ35" s="2090"/>
      <c r="BK35" s="2090"/>
      <c r="BL35" s="2090"/>
      <c r="BM35" s="2091"/>
      <c r="BN35" s="2091"/>
      <c r="BP35" s="1409"/>
      <c r="BQ35" s="1400"/>
      <c r="BR35" s="1400"/>
      <c r="BS35" s="1327"/>
      <c r="BT35" s="1320"/>
      <c r="BU35" s="1316"/>
      <c r="BV35" s="1316"/>
      <c r="BW35" s="1316"/>
      <c r="BX35" s="1410"/>
      <c r="BY35" s="1410"/>
      <c r="BZ35" s="1410"/>
      <c r="CA35" s="1410"/>
      <c r="CB35" s="1410"/>
      <c r="CC35" s="1410"/>
      <c r="CD35" s="1410"/>
      <c r="CE35" s="1410"/>
      <c r="CG35" s="1366"/>
      <c r="CH35" s="1366"/>
      <c r="CI35" s="1366"/>
      <c r="CJ35" s="1366"/>
      <c r="GJ35" s="1341">
        <v>52</v>
      </c>
      <c r="GK35" s="1341" t="s">
        <v>2725</v>
      </c>
      <c r="GL35" s="1341" t="s">
        <v>2731</v>
      </c>
      <c r="GO35" s="1394" t="s">
        <v>141</v>
      </c>
      <c r="GP35" s="1329">
        <f>'IND 1.1.1'!I231</f>
        <v>0</v>
      </c>
      <c r="GQ35" s="1329">
        <f>'IND 1.2.1'!K58</f>
        <v>0</v>
      </c>
      <c r="GR35" s="1330">
        <f t="shared" si="0"/>
        <v>0</v>
      </c>
      <c r="GS35" s="1329">
        <f>RANK(GR35,$GR$1:$GR$58,0)+COUNTIF(GR$1:GR35,GR35)-1</f>
        <v>43</v>
      </c>
      <c r="GT35" s="1329">
        <f t="shared" si="1"/>
        <v>43</v>
      </c>
      <c r="GU35" s="1331">
        <f t="shared" si="2"/>
        <v>0</v>
      </c>
      <c r="GV35" s="1332" t="str">
        <f t="shared" si="3"/>
        <v>Puéricultrices cadres de santé</v>
      </c>
      <c r="GW35" s="1332" t="s">
        <v>1852</v>
      </c>
      <c r="GX35" s="1333">
        <f t="shared" si="4"/>
        <v>0</v>
      </c>
      <c r="GY35" s="1333">
        <f t="shared" si="5"/>
        <v>0</v>
      </c>
      <c r="GZ35" s="1333">
        <f t="shared" si="5"/>
        <v>0</v>
      </c>
    </row>
    <row r="36" spans="1:208" ht="13.35" customHeight="1">
      <c r="A36" s="2063"/>
      <c r="B36" s="2064"/>
      <c r="C36" s="2064"/>
      <c r="D36" s="2064"/>
      <c r="E36" s="2064"/>
      <c r="F36" s="2064"/>
      <c r="G36" s="2044"/>
      <c r="H36" s="2065"/>
      <c r="I36" s="2065"/>
      <c r="J36" s="2065"/>
      <c r="K36" s="2065"/>
      <c r="M36" s="2067" t="str">
        <f>IF(D71&lt;2,"Tranche d'âge","Âge moyen* "&amp;CHAR(10)&amp;"des agents non permanent")</f>
        <v>Âge moyen* 
des agents non permanent</v>
      </c>
      <c r="N36" s="2067"/>
      <c r="O36" s="2067"/>
      <c r="P36" s="2067"/>
      <c r="R36" s="1395"/>
      <c r="AD36" s="1761"/>
      <c r="AE36" s="2088"/>
      <c r="AF36" s="2088"/>
      <c r="AG36" s="2088"/>
      <c r="AH36" s="2088"/>
      <c r="AJ36" s="2064"/>
      <c r="AK36" s="2064"/>
      <c r="AL36" s="2064"/>
      <c r="AM36" s="2064"/>
      <c r="AN36" s="2064"/>
      <c r="AO36" s="2064"/>
      <c r="AP36" s="2064"/>
      <c r="AQ36" s="2064"/>
      <c r="AR36" s="2064"/>
      <c r="AS36" s="2064"/>
      <c r="AT36" s="2064"/>
      <c r="AU36" s="2064"/>
      <c r="AV36" s="2064"/>
      <c r="AX36" s="2066"/>
      <c r="AY36" s="2066"/>
      <c r="AZ36" s="2066"/>
      <c r="BA36" s="2066"/>
      <c r="BB36" s="1388"/>
      <c r="BC36" s="1334" t="s">
        <v>2640</v>
      </c>
      <c r="BD36" s="1411" t="s">
        <v>2732</v>
      </c>
      <c r="BE36" s="1406"/>
      <c r="BF36" s="1406"/>
      <c r="BG36" s="1406"/>
      <c r="BH36" s="1407"/>
      <c r="BI36" s="1327"/>
      <c r="BJ36" s="2069" t="str">
        <f>IF('IND 7.1.4'!$B$27+'IND 7.1.4'!$C$27=0,"","Montant global des participations")</f>
        <v>Montant global des participations</v>
      </c>
      <c r="BK36" s="2069"/>
      <c r="BL36" s="2069"/>
      <c r="BM36" s="2075" t="str">
        <f>IF('IND 7.1.4'!$B$27=0,"",TEXT('IND 7.1.4'!$B$27,"# ### ### €"))</f>
        <v>714 367 €</v>
      </c>
      <c r="BN36" s="2075" t="str">
        <f>IF('IND 7.1.4'!$C$27=0,"",TEXT('IND 7.1.4'!$C$27,"# ### ### €"))</f>
        <v>124 354 €</v>
      </c>
      <c r="BP36" s="2076" t="str">
        <f>IF(OR(BV73="Non",BV73="(vide)",BV73="Ne sait pas"), "Aucune prestation sociale servie directement aux agents n'est prévue", "La collectivité a mis en place des prestations sociales servies directement aux agents ")</f>
        <v xml:space="preserve">La collectivité a mis en place des prestations sociales servies directement aux agents </v>
      </c>
      <c r="BQ36" s="2076"/>
      <c r="BR36" s="2076"/>
      <c r="BS36" s="2076"/>
      <c r="BT36" s="2076"/>
      <c r="BU36" s="1325"/>
      <c r="BV36" s="1325"/>
      <c r="BW36" s="1325"/>
      <c r="BX36" s="1325"/>
      <c r="BY36" s="1325"/>
      <c r="BZ36" s="1325"/>
      <c r="CA36" s="1325"/>
      <c r="CB36" s="1325"/>
      <c r="CC36" s="1325"/>
      <c r="CD36" s="1325"/>
      <c r="CE36" s="1325"/>
      <c r="CG36" s="1366"/>
      <c r="CH36" s="1366"/>
      <c r="CI36" s="1366"/>
      <c r="CJ36" s="1366"/>
      <c r="GJ36" s="1341" t="s">
        <v>2733</v>
      </c>
      <c r="GK36" s="1341" t="s">
        <v>2734</v>
      </c>
      <c r="GL36" s="1341" t="s">
        <v>2735</v>
      </c>
      <c r="GO36" s="1394" t="s">
        <v>1116</v>
      </c>
      <c r="GP36" s="1329">
        <f>'IND 1.1.1'!I235+'IND 1.1.1'!I241</f>
        <v>22</v>
      </c>
      <c r="GQ36" s="1329">
        <f>'IND 1.2.1'!K59</f>
        <v>8</v>
      </c>
      <c r="GR36" s="1330">
        <f t="shared" si="0"/>
        <v>30</v>
      </c>
      <c r="GS36" s="1329">
        <f>RANK(GR36,$GR$1:$GR$58,0)+COUNTIF(GR$1:GR36,GR36)-1</f>
        <v>19</v>
      </c>
      <c r="GT36" s="1329">
        <f t="shared" si="1"/>
        <v>19</v>
      </c>
      <c r="GU36" s="1331">
        <f t="shared" si="2"/>
        <v>5.2310374891020054E-3</v>
      </c>
      <c r="GV36" s="1332" t="str">
        <f t="shared" si="3"/>
        <v>PUERICULTRICES (décret n° 92-859 du 28 août 1992 modifié) *</v>
      </c>
      <c r="GW36" s="1332" t="s">
        <v>1852</v>
      </c>
      <c r="GX36" s="1333">
        <f t="shared" si="4"/>
        <v>30</v>
      </c>
      <c r="GY36" s="1333">
        <f t="shared" si="5"/>
        <v>22</v>
      </c>
      <c r="GZ36" s="1333">
        <f t="shared" si="5"/>
        <v>8</v>
      </c>
    </row>
    <row r="37" spans="1:208" ht="13.35" customHeight="1">
      <c r="A37" s="2045" t="s">
        <v>2736</v>
      </c>
      <c r="B37" s="2045"/>
      <c r="C37" s="2046"/>
      <c r="D37" s="1412" t="s">
        <v>2692</v>
      </c>
      <c r="E37" s="1412" t="s">
        <v>2693</v>
      </c>
      <c r="F37" s="1413" t="s">
        <v>2737</v>
      </c>
      <c r="M37" s="2068"/>
      <c r="N37" s="2068"/>
      <c r="O37" s="2068"/>
      <c r="P37" s="2068"/>
      <c r="X37" s="1762" t="s">
        <v>2640</v>
      </c>
      <c r="Y37" s="2088" t="str">
        <f>IF(B20=0," ",IF('IND 1.5.4-1.5.5'!$B$26+'IND 1.5.4-1.5.5'!$C$26=0,"Aucun avancement d'échelon",IF('IND 1.5.4-1.5.5'!$B$26+'IND 1.5.4-1.5.5'!$C$26=1,"Un avancement d'échelon",'IND 1.5.4-1.5.5'!$B$26+'IND 1.5.4-1.5.5'!$C$26&amp; " avancements d'échelon")))&amp;IF(B20=0," "," et ")&amp; CHAR(10)&amp;IF(B20=0," ",IF('IND 1.5.4-1.5.5'!$B$27+'IND 1.5.4-1.5.5'!$C$27=0,"aucun avancement de grade",IF('IND 1.5.4-1.5.5'!$B$27+'IND 1.5.4-1.5.5'!$C$27=1,"un avancement de grade",'IND 1.5.4-1.5.5'!$B$27+'IND 1.5.4-1.5.5'!$C$27&amp; " avancements de grade")))</f>
        <v>2224 avancements d'échelon et 
398 avancements de grade</v>
      </c>
      <c r="Z37" s="2088"/>
      <c r="AA37" s="2088"/>
      <c r="AB37" s="2088"/>
      <c r="AC37" s="2088"/>
      <c r="AD37" s="1761"/>
      <c r="AE37" s="2088"/>
      <c r="AF37" s="2088"/>
      <c r="AG37" s="2088"/>
      <c r="AH37" s="2088"/>
      <c r="AJ37" s="2077" t="str">
        <f>"Part du régime indemnitaire" &amp; CHAR(10)&amp;" sur les rémunérations :"</f>
        <v>Part du régime indemnitaire
 sur les rémunérations :</v>
      </c>
      <c r="AK37" s="2077"/>
      <c r="AL37" s="2077"/>
      <c r="AM37" s="2077"/>
      <c r="AN37" s="2077"/>
      <c r="AO37" s="2077"/>
      <c r="AQ37" s="2079" t="s">
        <v>2738</v>
      </c>
      <c r="AR37" s="2079"/>
      <c r="AS37" s="2079"/>
      <c r="AT37" s="2079"/>
      <c r="AU37" s="2079"/>
      <c r="AV37" s="2079"/>
      <c r="AX37" s="1414"/>
      <c r="AY37" s="1414"/>
      <c r="AZ37" s="1414"/>
      <c r="BA37" s="1414"/>
      <c r="BB37" s="1388"/>
      <c r="BC37" s="1383"/>
      <c r="BD37" s="2059" t="str">
        <f>IF(SUM('IND 4.1.1-4.1.2'!C26:C28)=0,"Aucune formation liée à la prévention n'a été suivie",IF(SUM('IND 4.1.1-4.1.2'!C26:C28)&gt;1,SUM('IND 4.1.1-4.1.2'!C26:C28)&amp;" jours de formation liés à la prévention (habilitations et formations obligatoires)",SUM('IND 4.1.1-4.1.2'!C26:C28)&amp;" jour de formation lié à la prévention (habilitation ou formation obligatoire)"))</f>
        <v>224 jours de formation liés à la prévention (habilitations et formations obligatoires)</v>
      </c>
      <c r="BE37" s="2059"/>
      <c r="BF37" s="2059"/>
      <c r="BG37" s="2059"/>
      <c r="BH37" s="2059"/>
      <c r="BI37" s="1327"/>
      <c r="BJ37" s="2069"/>
      <c r="BK37" s="2069"/>
      <c r="BL37" s="2069"/>
      <c r="BM37" s="2075"/>
      <c r="BN37" s="2075"/>
      <c r="BP37" s="2076"/>
      <c r="BQ37" s="2076"/>
      <c r="BR37" s="2076"/>
      <c r="BS37" s="2076"/>
      <c r="BT37" s="2076"/>
      <c r="CG37" s="1366"/>
      <c r="CH37" s="1366"/>
      <c r="CI37" s="1366"/>
      <c r="CJ37" s="1366"/>
      <c r="GJ37" s="1341" t="s">
        <v>2739</v>
      </c>
      <c r="GK37" s="1341" t="s">
        <v>2734</v>
      </c>
      <c r="GL37" s="1341" t="s">
        <v>2740</v>
      </c>
      <c r="GO37" s="1394"/>
      <c r="GP37" s="1329"/>
      <c r="GQ37" s="1329"/>
      <c r="GR37" s="1330"/>
      <c r="GS37" s="1329">
        <f>RANK(GR37,$GR$1:$GR$58,0)+COUNTIF(GR$1:GR37,GR37)-1</f>
        <v>43</v>
      </c>
      <c r="GT37" s="1329"/>
      <c r="GU37" s="1331">
        <f t="shared" si="2"/>
        <v>0</v>
      </c>
      <c r="GV37" s="1332"/>
      <c r="GW37" s="1332"/>
      <c r="GX37" s="1333">
        <f t="shared" si="4"/>
        <v>0</v>
      </c>
      <c r="GY37" s="1333">
        <f t="shared" si="5"/>
        <v>0</v>
      </c>
      <c r="GZ37" s="1333">
        <f t="shared" si="5"/>
        <v>0</v>
      </c>
    </row>
    <row r="38" spans="1:208" ht="13.35" customHeight="1">
      <c r="A38" s="2080" t="s">
        <v>2697</v>
      </c>
      <c r="B38" s="2080"/>
      <c r="C38" s="2081"/>
      <c r="D38" s="1415">
        <f>IFERROR('IND 1.1.1'!$I$49/$D$69,"")</f>
        <v>0.23283705541770058</v>
      </c>
      <c r="E38" s="1415">
        <f>IFERROR('IND 1.2.1'!K20/$D$70,"")</f>
        <v>0.19799777530589543</v>
      </c>
      <c r="F38" s="1416">
        <f>IFERROR(('IND 1.1.1'!I49+'IND 1.2.1'!K20)/(synthese!$D$69+synthese!$D$70),"")</f>
        <v>0.22737576285963382</v>
      </c>
      <c r="M38" s="2082" t="str">
        <f>IF($J$85=0," ",IF(D71&lt;2,"Contractuel non permanent","Contractuels non permanents"))</f>
        <v>Contractuels non permanents</v>
      </c>
      <c r="N38" s="2082"/>
      <c r="O38" s="2084">
        <f>IF($J$85=0," ",IF(D71&lt;2,"de "&amp;$J$86-2.5&amp;" à "&amp;$J$86+2.5,$J$86))</f>
        <v>47.252090800477895</v>
      </c>
      <c r="P38" s="2084"/>
      <c r="Y38" s="2088"/>
      <c r="Z38" s="2088"/>
      <c r="AA38" s="2088"/>
      <c r="AB38" s="2088"/>
      <c r="AC38" s="2088"/>
      <c r="AD38" s="1761"/>
      <c r="AE38" s="2074" t="str">
        <f>IF(SUM('IND 1.5.7'!$B$8:$C$10)=0,"","dont "&amp;TEXT(AG74*100,"##0,0")&amp;" % femmes")</f>
        <v>dont 80,6 % femmes</v>
      </c>
      <c r="AF38" s="2074"/>
      <c r="AG38" s="2074"/>
      <c r="AH38" s="2074"/>
      <c r="AJ38" s="2077"/>
      <c r="AK38" s="2077"/>
      <c r="AL38" s="2077"/>
      <c r="AM38" s="2077"/>
      <c r="AN38" s="2077"/>
      <c r="AO38" s="2077"/>
      <c r="AP38" s="1417"/>
      <c r="AQ38" s="2079"/>
      <c r="AR38" s="2079"/>
      <c r="AS38" s="2079"/>
      <c r="AT38" s="2079"/>
      <c r="AU38" s="2079"/>
      <c r="AV38" s="2079"/>
      <c r="AX38" s="1414"/>
      <c r="AY38" s="1414"/>
      <c r="AZ38" s="1414"/>
      <c r="BA38" s="1414"/>
      <c r="BB38" s="1388"/>
      <c r="BC38" s="1383"/>
      <c r="BD38" s="2059"/>
      <c r="BE38" s="2059"/>
      <c r="BF38" s="2059"/>
      <c r="BG38" s="2059"/>
      <c r="BH38" s="2059"/>
      <c r="BI38" s="1327"/>
      <c r="BJ38" s="2069"/>
      <c r="BK38" s="2069"/>
      <c r="BL38" s="2069"/>
      <c r="BM38" s="2075"/>
      <c r="BN38" s="2075"/>
      <c r="BP38" s="2076"/>
      <c r="BQ38" s="2076"/>
      <c r="BR38" s="2076"/>
      <c r="BS38" s="2076"/>
      <c r="BT38" s="2076"/>
      <c r="BV38" s="2070" t="s">
        <v>2998</v>
      </c>
      <c r="BW38" s="2070"/>
      <c r="BX38" s="2070"/>
      <c r="BY38" s="2070"/>
      <c r="BZ38" s="2070"/>
      <c r="CA38" s="2070"/>
      <c r="CB38" s="2070"/>
      <c r="CC38" s="2070"/>
      <c r="CD38" s="2070"/>
      <c r="CE38" s="2070"/>
      <c r="CG38" s="1366"/>
      <c r="CH38" s="1366"/>
      <c r="CI38" s="1366"/>
      <c r="CJ38" s="1366"/>
      <c r="GJ38" s="1341">
        <v>25</v>
      </c>
      <c r="GK38" s="1341" t="s">
        <v>2741</v>
      </c>
      <c r="GL38" s="1341" t="s">
        <v>2742</v>
      </c>
      <c r="GO38" s="1394" t="s">
        <v>1895</v>
      </c>
      <c r="GP38" s="1329">
        <f>'IND 1.1.1'!I244</f>
        <v>0</v>
      </c>
      <c r="GQ38" s="1329">
        <f>'IND 1.2.1'!K60</f>
        <v>0</v>
      </c>
      <c r="GR38" s="1330">
        <f t="shared" si="0"/>
        <v>0</v>
      </c>
      <c r="GS38" s="1329">
        <f>RANK(GR38,$GR$1:$GR$58,0)+COUNTIF(GR$1:GR38,GR38)-1</f>
        <v>44</v>
      </c>
      <c r="GT38" s="1329">
        <f t="shared" si="1"/>
        <v>44</v>
      </c>
      <c r="GU38" s="1331">
        <f t="shared" si="2"/>
        <v>0</v>
      </c>
      <c r="GV38" s="1332" t="str">
        <f t="shared" si="3"/>
        <v>Cadres de santé infirmiers, rééducateurs et assistants médico-techniques</v>
      </c>
      <c r="GW38" s="1332" t="s">
        <v>1852</v>
      </c>
      <c r="GX38" s="1333">
        <f t="shared" si="4"/>
        <v>0</v>
      </c>
      <c r="GY38" s="1333">
        <f t="shared" si="5"/>
        <v>0</v>
      </c>
      <c r="GZ38" s="1333">
        <f t="shared" si="5"/>
        <v>0</v>
      </c>
    </row>
    <row r="39" spans="1:208" ht="13.35" customHeight="1">
      <c r="A39" s="2071" t="s">
        <v>2699</v>
      </c>
      <c r="B39" s="2071"/>
      <c r="C39" s="2072"/>
      <c r="D39" s="1418">
        <f>IFERROR('IND 1.1.1'!$I$90/$D$69,"")</f>
        <v>0.43796526054590573</v>
      </c>
      <c r="E39" s="1418">
        <f>IFERROR('IND 1.2.1'!K28/$D$70,"")</f>
        <v>0.3403781979977753</v>
      </c>
      <c r="F39" s="1419">
        <f>IFERROR(('IND 1.1.1'!I90+'IND 1.2.1'!K28)/(synthese!$D$69+synthese!$D$70),"")</f>
        <v>0.42266782911944201</v>
      </c>
      <c r="M39" s="2083"/>
      <c r="N39" s="2083"/>
      <c r="O39" s="2085"/>
      <c r="P39" s="2085"/>
      <c r="T39" s="2073" t="s">
        <v>2743</v>
      </c>
      <c r="U39" s="2073"/>
      <c r="V39" s="2073"/>
      <c r="W39" s="2073"/>
      <c r="Y39" s="2088"/>
      <c r="Z39" s="2088"/>
      <c r="AA39" s="2088"/>
      <c r="AB39" s="2088"/>
      <c r="AC39" s="2088"/>
      <c r="AD39" s="1761"/>
      <c r="AE39" s="2074" t="str">
        <f>IF(SUM('IND 1.5.7'!$B$8:$C$10)=0,"","dont "&amp;TEXT(AH80*100,"##0,0")&amp;" % de catégorie C")</f>
        <v>dont 30,6 % de catégorie C</v>
      </c>
      <c r="AF39" s="2074"/>
      <c r="AG39" s="2074"/>
      <c r="AH39" s="2074"/>
      <c r="AJ39" s="2078"/>
      <c r="AK39" s="2078"/>
      <c r="AL39" s="2078"/>
      <c r="AM39" s="2078"/>
      <c r="AN39" s="2078"/>
      <c r="AO39" s="2078"/>
      <c r="AP39" s="1417"/>
      <c r="BB39" s="1388"/>
      <c r="BC39" s="1383"/>
      <c r="BD39" s="2059"/>
      <c r="BE39" s="2059"/>
      <c r="BF39" s="2059"/>
      <c r="BG39" s="2059"/>
      <c r="BH39" s="2059"/>
      <c r="BI39" s="1327"/>
      <c r="BJ39" s="2069" t="str">
        <f>IF(OR('IND 7.1.4'!$B$27+'IND 7.1.4'!$C$27=0,'IND 7.1.4'!$B$20+'IND 7.1.4'!$C$20=0),"","Montant moyen par bénéficiaire")</f>
        <v>Montant moyen par bénéficiaire</v>
      </c>
      <c r="BK39" s="2069"/>
      <c r="BL39" s="2069"/>
      <c r="BM39" s="2075" t="str">
        <f>IF('IND 7.1.4'!$B$20=0," ",IF('IND 7.1.4'!$B$27=0, "",TEXT(ROUND('IND 7.1.4'!$B$27/'IND 7.1.4'!$B$20,0),"# ### ### €")))</f>
        <v>247 €</v>
      </c>
      <c r="BN39" s="2075" t="str">
        <f>IF('IND 7.1.4'!$C$20=0,"",IF('IND 7.1.4'!$C$27=0, "",TEXT(ROUND('IND 7.1.4'!$C$27/'IND 7.1.4'!$C$20,0),"# ### ### €")))</f>
        <v>55 €</v>
      </c>
      <c r="BP39" s="2097" t="s">
        <v>2744</v>
      </c>
      <c r="BQ39" s="2097"/>
      <c r="BR39" s="2097"/>
      <c r="BS39" s="2097"/>
      <c r="BT39" s="2097"/>
      <c r="BV39" s="2070"/>
      <c r="BW39" s="2070"/>
      <c r="BX39" s="2070"/>
      <c r="BY39" s="2070"/>
      <c r="BZ39" s="2070"/>
      <c r="CA39" s="2070"/>
      <c r="CB39" s="2070"/>
      <c r="CC39" s="2070"/>
      <c r="CD39" s="2070"/>
      <c r="CE39" s="2070"/>
      <c r="CG39" s="1366"/>
      <c r="CH39" s="1366"/>
      <c r="CI39" s="1366"/>
      <c r="CJ39" s="1366"/>
      <c r="CK39" s="1420"/>
      <c r="CL39" s="1420"/>
      <c r="CM39" s="1420"/>
      <c r="CN39" s="1420"/>
      <c r="CO39" s="1420"/>
      <c r="CP39" s="1420"/>
      <c r="CQ39" s="1420"/>
      <c r="CR39" s="1421"/>
      <c r="CS39" s="1421"/>
      <c r="CT39" s="1421"/>
      <c r="CU39" s="1421"/>
      <c r="CV39" s="1421"/>
      <c r="CW39" s="1421"/>
      <c r="CX39" s="1421"/>
      <c r="GJ39" s="1341">
        <v>39</v>
      </c>
      <c r="GK39" s="1341" t="s">
        <v>2741</v>
      </c>
      <c r="GL39" s="1341" t="s">
        <v>2745</v>
      </c>
      <c r="GO39" s="1394" t="s">
        <v>1053</v>
      </c>
      <c r="GP39" s="1329">
        <f>'IND 1.1.1'!I250</f>
        <v>13</v>
      </c>
      <c r="GQ39" s="1329">
        <f>'IND 1.2.1'!K61</f>
        <v>0</v>
      </c>
      <c r="GR39" s="1330">
        <f t="shared" si="0"/>
        <v>13</v>
      </c>
      <c r="GS39" s="1329">
        <f>RANK(GR39,$GR$1:$GR$58,0)+COUNTIF(GR$1:GR39,GR39)-1</f>
        <v>23</v>
      </c>
      <c r="GT39" s="1329">
        <f t="shared" si="1"/>
        <v>23</v>
      </c>
      <c r="GU39" s="1331">
        <f t="shared" si="2"/>
        <v>2.2667829119442022E-3</v>
      </c>
      <c r="GV39" s="1332" t="str">
        <f t="shared" si="3"/>
        <v>Infirmiers en soins généraux</v>
      </c>
      <c r="GW39" s="1332" t="s">
        <v>1852</v>
      </c>
      <c r="GX39" s="1333">
        <f t="shared" si="4"/>
        <v>13</v>
      </c>
      <c r="GY39" s="1333">
        <f t="shared" si="5"/>
        <v>13</v>
      </c>
      <c r="GZ39" s="1333">
        <f t="shared" si="5"/>
        <v>0</v>
      </c>
    </row>
    <row r="40" spans="1:208" ht="13.35" customHeight="1">
      <c r="A40" s="2053" t="s">
        <v>2702</v>
      </c>
      <c r="B40" s="2053"/>
      <c r="C40" s="2054"/>
      <c r="D40" s="1422">
        <f>IFERROR('IND 1.1.1'!$I$145/$D$69,"")</f>
        <v>5.3556658395368072E-2</v>
      </c>
      <c r="E40" s="1422">
        <f>IFERROR('IND 1.2.1'!K39/$D$70,"")</f>
        <v>7.8976640711902107E-2</v>
      </c>
      <c r="F40" s="1423">
        <f>IFERROR(('IND 1.1.1'!I145+'IND 1.2.1'!K39)/(synthese!$D$69+synthese!$D$70),"")</f>
        <v>5.7541412380122059E-2</v>
      </c>
      <c r="AC40" s="1763"/>
      <c r="AE40" s="1372"/>
      <c r="AF40" s="1372"/>
      <c r="AG40" s="1372"/>
      <c r="AH40" s="1372"/>
      <c r="AJ40" s="2092" t="str">
        <f>IF(AP72=0, " ","Fonctionnaires")</f>
        <v>Fonctionnaires</v>
      </c>
      <c r="AK40" s="2092"/>
      <c r="AL40" s="2092"/>
      <c r="AM40" s="2092"/>
      <c r="AN40" s="2094">
        <f>IF(AP72=0," ",AS72)</f>
        <v>0.18492301912414355</v>
      </c>
      <c r="AO40" s="2094"/>
      <c r="BB40" s="1388"/>
      <c r="BC40" s="1383"/>
      <c r="BD40" s="1424" t="str">
        <f>IF($BG$40=" "," ","Coût total des formations :")</f>
        <v>Coût total des formations :</v>
      </c>
      <c r="BE40" s="1406"/>
      <c r="BF40" s="1372"/>
      <c r="BG40" s="2098">
        <f>IF(SUM('IND 4.1.1-4.1.2'!B26:B28)=0," ",SUM('IND 4.1.1-4.1.2'!B26:B28))</f>
        <v>1600</v>
      </c>
      <c r="BH40" s="2098"/>
      <c r="BI40" s="1327"/>
      <c r="BJ40" s="2069"/>
      <c r="BK40" s="2069"/>
      <c r="BL40" s="2069"/>
      <c r="BM40" s="2075"/>
      <c r="BN40" s="2075"/>
      <c r="BO40" s="1327"/>
      <c r="BP40" s="2097"/>
      <c r="BQ40" s="2097"/>
      <c r="BR40" s="2097"/>
      <c r="BS40" s="2097"/>
      <c r="BT40" s="2097"/>
      <c r="BV40" s="2070"/>
      <c r="BW40" s="2070"/>
      <c r="BX40" s="2070"/>
      <c r="BY40" s="2070"/>
      <c r="BZ40" s="2070"/>
      <c r="CA40" s="2070"/>
      <c r="CB40" s="2070"/>
      <c r="CC40" s="2070"/>
      <c r="CD40" s="2070"/>
      <c r="CE40" s="2070"/>
      <c r="CG40" s="1366"/>
      <c r="CH40" s="1366"/>
      <c r="CI40" s="1366"/>
      <c r="CJ40" s="1366"/>
      <c r="CL40" s="1420"/>
      <c r="CM40" s="1420"/>
      <c r="CN40" s="1420"/>
      <c r="CO40" s="1420"/>
      <c r="CP40" s="1420"/>
      <c r="CQ40" s="1420"/>
      <c r="CR40" s="1421"/>
      <c r="CS40" s="1421"/>
      <c r="CT40" s="1421"/>
      <c r="CU40" s="1421"/>
      <c r="CV40" s="1421"/>
      <c r="CW40" s="1421"/>
      <c r="CX40" s="1421"/>
      <c r="GJ40" s="1341">
        <v>70</v>
      </c>
      <c r="GK40" s="1341" t="s">
        <v>2741</v>
      </c>
      <c r="GL40" s="1341" t="s">
        <v>2746</v>
      </c>
      <c r="GO40" s="1394" t="s">
        <v>1896</v>
      </c>
      <c r="GP40" s="1329">
        <f>'IND 1.1.1'!I254</f>
        <v>0</v>
      </c>
      <c r="GQ40" s="1329">
        <f>'IND 1.2.1'!K62</f>
        <v>0</v>
      </c>
      <c r="GR40" s="1330">
        <f t="shared" si="0"/>
        <v>0</v>
      </c>
      <c r="GS40" s="1329">
        <f>RANK(GR40,$GR$1:$GR$58,0)+COUNTIF(GR$1:GR40,GR40)-1</f>
        <v>45</v>
      </c>
      <c r="GT40" s="1329">
        <f t="shared" si="1"/>
        <v>45</v>
      </c>
      <c r="GU40" s="1331">
        <f t="shared" si="2"/>
        <v>0</v>
      </c>
      <c r="GV40" s="1332" t="str">
        <f t="shared" si="3"/>
        <v>Infirmiers</v>
      </c>
      <c r="GW40" s="1332" t="s">
        <v>447</v>
      </c>
      <c r="GX40" s="1333">
        <f t="shared" si="4"/>
        <v>0</v>
      </c>
      <c r="GY40" s="1333">
        <f t="shared" si="5"/>
        <v>0</v>
      </c>
      <c r="GZ40" s="1333">
        <f t="shared" si="5"/>
        <v>0</v>
      </c>
    </row>
    <row r="41" spans="1:208" ht="13.35" customHeight="1" thickBot="1">
      <c r="A41" s="2071" t="s">
        <v>2704</v>
      </c>
      <c r="B41" s="2071"/>
      <c r="C41" s="2072"/>
      <c r="D41" s="1418">
        <f>IFERROR('IND 1.1.1'!$I$166/$D$69,"")</f>
        <v>1.7990074441687345E-2</v>
      </c>
      <c r="E41" s="1418">
        <f>IFERROR('IND 1.2.1'!K44/$D$70,"")</f>
        <v>4.1156840934371525E-2</v>
      </c>
      <c r="F41" s="1419">
        <f>IFERROR(('IND 1.1.1'!I166+'IND 1.2.1'!K44)/(synthese!$D$69+synthese!$D$70),"")</f>
        <v>2.1621621621621623E-2</v>
      </c>
      <c r="L41" s="1316"/>
      <c r="M41" s="1316"/>
      <c r="N41" s="1316"/>
      <c r="O41" s="1316"/>
      <c r="P41" s="1316"/>
      <c r="Q41" s="1316"/>
      <c r="R41" s="1316"/>
      <c r="S41" s="1316"/>
      <c r="T41" s="1316"/>
      <c r="U41" s="1316"/>
      <c r="V41" s="1316"/>
      <c r="W41" s="1316"/>
      <c r="AJ41" s="2093"/>
      <c r="AK41" s="2093"/>
      <c r="AL41" s="2093"/>
      <c r="AM41" s="2093"/>
      <c r="AN41" s="2095"/>
      <c r="AO41" s="2095"/>
      <c r="AW41" s="1316"/>
      <c r="AX41" s="1316"/>
      <c r="AY41" s="1316"/>
      <c r="AZ41" s="1316"/>
      <c r="BA41" s="1425"/>
      <c r="BB41" s="1426"/>
      <c r="BC41" s="1383"/>
      <c r="BD41" s="1424" t="str">
        <f>IF($BG$40=" "," ","Coût par jour de formation :")</f>
        <v>Coût par jour de formation :</v>
      </c>
      <c r="BE41" s="1406"/>
      <c r="BF41" s="1372"/>
      <c r="BG41" s="2098">
        <f>IF($BG$40=" "," ",(IF(SUM('IND 4.1.1-4.1.2'!B26:B28)/SUM('IND 4.1.1-4.1.2'!C26:C28)=$BG$40,"-      ",SUM('IND 4.1.1-4.1.2'!B26:B28)/SUM('IND 4.1.1-4.1.2'!C26:C28))))</f>
        <v>7.1428571428571432</v>
      </c>
      <c r="BH41" s="2098"/>
      <c r="BI41" s="1327"/>
      <c r="BJ41" s="2069"/>
      <c r="BK41" s="2069"/>
      <c r="BL41" s="2069"/>
      <c r="BM41" s="2075"/>
      <c r="BN41" s="2075"/>
      <c r="BV41" s="2070"/>
      <c r="BW41" s="2070"/>
      <c r="BX41" s="2070"/>
      <c r="BY41" s="2070"/>
      <c r="BZ41" s="2070"/>
      <c r="CA41" s="2070"/>
      <c r="CB41" s="2070"/>
      <c r="CC41" s="2070"/>
      <c r="CD41" s="2070"/>
      <c r="CE41" s="2070"/>
      <c r="CG41" s="1366"/>
      <c r="CH41" s="1366"/>
      <c r="CI41" s="1366"/>
      <c r="CJ41" s="1366"/>
      <c r="CL41" s="1359"/>
      <c r="CN41" s="1359"/>
      <c r="CO41" s="1359"/>
      <c r="CP41" s="1359"/>
      <c r="CQ41" s="1359"/>
      <c r="CR41" s="1359"/>
      <c r="CS41" s="1359"/>
      <c r="CU41" s="1359"/>
      <c r="CV41" s="1359"/>
      <c r="CW41" s="1359"/>
      <c r="CX41" s="1359"/>
      <c r="GJ41" s="1341">
        <v>90</v>
      </c>
      <c r="GK41" s="1341" t="s">
        <v>2741</v>
      </c>
      <c r="GL41" s="1341" t="s">
        <v>2747</v>
      </c>
      <c r="GO41" s="1394" t="s">
        <v>1897</v>
      </c>
      <c r="GP41" s="1329">
        <f>'IND 1.1.1'!I259</f>
        <v>245</v>
      </c>
      <c r="GQ41" s="1329">
        <f>'IND 1.2.1'!K63</f>
        <v>84</v>
      </c>
      <c r="GR41" s="1330">
        <f t="shared" si="0"/>
        <v>329</v>
      </c>
      <c r="GS41" s="1329">
        <f>RANK(GR41,$GR$1:$GR$58,0)+COUNTIF(GR$1:GR41,GR41)-1</f>
        <v>6</v>
      </c>
      <c r="GT41" s="1329">
        <f t="shared" si="1"/>
        <v>6</v>
      </c>
      <c r="GU41" s="1331">
        <f t="shared" si="2"/>
        <v>5.7367044463818656E-2</v>
      </c>
      <c r="GV41" s="1332" t="str">
        <f t="shared" si="3"/>
        <v>Auxiliaires de puériculture</v>
      </c>
      <c r="GW41" s="1332" t="s">
        <v>375</v>
      </c>
      <c r="GX41" s="1333">
        <f t="shared" si="4"/>
        <v>329</v>
      </c>
      <c r="GY41" s="1333">
        <f t="shared" si="5"/>
        <v>245</v>
      </c>
      <c r="GZ41" s="1333">
        <f t="shared" si="5"/>
        <v>84</v>
      </c>
    </row>
    <row r="42" spans="1:208" ht="13.35" customHeight="1">
      <c r="A42" s="2053" t="s">
        <v>2711</v>
      </c>
      <c r="B42" s="2053"/>
      <c r="C42" s="2054"/>
      <c r="D42" s="1422">
        <f>IFERROR(('IND 1.1.1'!$I$266+'IND 1.1.1'!$I$280+'IND 1.1.1'!$I$204)/$D$69,"")</f>
        <v>0.14205955334987594</v>
      </c>
      <c r="E42" s="1422">
        <f>IFERROR(('IND 1.2.1'!K52+'IND 1.2.1'!K65+'IND 1.2.1'!K69)/$D$70,"")</f>
        <v>0.29143492769744161</v>
      </c>
      <c r="F42" s="1423">
        <f>IFERROR(('IND 1.1.1'!$I$266+'IND 1.1.1'!$I$280+'IND 1.1.1'!$I$204+('IND 1.2.1'!K52+'IND 1.2.1'!K65+'IND 1.2.1'!K69))/(synthese!$D$69+synthese!$D$70),"")</f>
        <v>0.16547515257192677</v>
      </c>
      <c r="L42" s="1325"/>
      <c r="M42" s="1325"/>
      <c r="N42" s="1325"/>
      <c r="O42" s="1325"/>
      <c r="P42" s="1325"/>
      <c r="Q42" s="1325"/>
      <c r="R42" s="1325"/>
      <c r="S42" s="1325"/>
      <c r="T42" s="1325"/>
      <c r="U42" s="1325"/>
      <c r="V42" s="1325"/>
      <c r="W42" s="1325"/>
      <c r="X42" s="1325"/>
      <c r="Y42" s="1325"/>
      <c r="Z42" s="1325"/>
      <c r="AA42" s="1325"/>
      <c r="AB42" s="1325"/>
      <c r="AC42" s="1325"/>
      <c r="AD42" s="1325"/>
      <c r="AE42" s="1325"/>
      <c r="AF42" s="1325"/>
      <c r="AG42" s="1325"/>
      <c r="AH42" s="1325"/>
      <c r="AJ42" s="2092" t="str">
        <f>IF(AR72=0," ","Contractuels sur emplois permanents")</f>
        <v>Contractuels sur emplois permanents</v>
      </c>
      <c r="AK42" s="2092"/>
      <c r="AL42" s="2092"/>
      <c r="AM42" s="2092"/>
      <c r="AN42" s="2094">
        <f>IF(AR72=0," ",AT72)</f>
        <v>0.19773555412893976</v>
      </c>
      <c r="AO42" s="2094"/>
      <c r="AW42" s="1325"/>
      <c r="AX42" s="1325"/>
      <c r="AY42" s="1325"/>
      <c r="AZ42" s="1325"/>
      <c r="BA42" s="1325"/>
      <c r="BB42" s="1388"/>
      <c r="BC42" s="1383"/>
      <c r="BD42" s="1427"/>
      <c r="BE42" s="1406"/>
      <c r="BF42" s="1406"/>
      <c r="BG42" s="1406"/>
      <c r="BH42" s="1407"/>
      <c r="BV42" s="2070"/>
      <c r="BW42" s="2070"/>
      <c r="BX42" s="2070"/>
      <c r="BY42" s="2070"/>
      <c r="BZ42" s="2070"/>
      <c r="CA42" s="2070"/>
      <c r="CB42" s="2070"/>
      <c r="CC42" s="2070"/>
      <c r="CD42" s="2070"/>
      <c r="CE42" s="2070"/>
      <c r="CG42" s="1366"/>
      <c r="CH42" s="1366"/>
      <c r="CI42" s="1366"/>
      <c r="CJ42" s="1366"/>
      <c r="CK42" s="1359"/>
      <c r="CL42" s="1359"/>
      <c r="CM42" s="1359"/>
      <c r="CN42" s="1359"/>
      <c r="CO42" s="1359"/>
      <c r="CP42" s="1359"/>
      <c r="CQ42" s="1359"/>
      <c r="CR42" s="1359"/>
      <c r="CS42" s="1359"/>
      <c r="CT42" s="1359"/>
      <c r="CU42" s="1359"/>
      <c r="CV42" s="1359"/>
      <c r="CW42" s="1359"/>
      <c r="CX42" s="1359"/>
      <c r="GJ42" s="1341">
        <v>27</v>
      </c>
      <c r="GK42" s="1341" t="s">
        <v>2748</v>
      </c>
      <c r="GL42" s="1341" t="s">
        <v>2749</v>
      </c>
      <c r="GO42" s="1394" t="s">
        <v>1898</v>
      </c>
      <c r="GP42" s="1329">
        <f>'IND 1.1.1'!I264</f>
        <v>0</v>
      </c>
      <c r="GQ42" s="1329">
        <f>'IND 1.2.1'!K64</f>
        <v>0</v>
      </c>
      <c r="GR42" s="1330">
        <f t="shared" si="0"/>
        <v>0</v>
      </c>
      <c r="GS42" s="1329">
        <f>RANK(GR42,$GR$1:$GR$58,0)+COUNTIF(GR$1:GR42,GR42)-1</f>
        <v>46</v>
      </c>
      <c r="GT42" s="1329">
        <f t="shared" si="1"/>
        <v>46</v>
      </c>
      <c r="GU42" s="1331">
        <f t="shared" si="2"/>
        <v>0</v>
      </c>
      <c r="GV42" s="1332" t="str">
        <f t="shared" si="3"/>
        <v>Auxiliaires de soins</v>
      </c>
      <c r="GW42" s="1332" t="s">
        <v>375</v>
      </c>
      <c r="GX42" s="1333">
        <f t="shared" si="4"/>
        <v>0</v>
      </c>
      <c r="GY42" s="1333">
        <f t="shared" si="5"/>
        <v>0</v>
      </c>
      <c r="GZ42" s="1333">
        <f t="shared" si="5"/>
        <v>0</v>
      </c>
    </row>
    <row r="43" spans="1:208" ht="13.35" customHeight="1" thickBot="1">
      <c r="A43" s="2071" t="s">
        <v>2713</v>
      </c>
      <c r="B43" s="2071"/>
      <c r="C43" s="2072"/>
      <c r="D43" s="1418">
        <f>IFERROR('IND 1.1.1'!$I$305/$D$69,"")</f>
        <v>8.8709677419354843E-2</v>
      </c>
      <c r="E43" s="1418">
        <f>IFERROR('IND 1.2.1'!K75/$D$70,"")</f>
        <v>0</v>
      </c>
      <c r="F43" s="1419">
        <f>IFERROR(('IND 1.1.1'!I305+'IND 1.2.1'!K75)/(synthese!$D$69+synthese!$D$70),"")</f>
        <v>7.4803836094158679E-2</v>
      </c>
      <c r="L43" s="2037" t="s">
        <v>2640</v>
      </c>
      <c r="M43" s="2096" t="str">
        <f>TEXT('IND 1.1.4'!$C$72+'IND 1.1.4'!$D$72+'IND 1.2.4'!$C$71+'IND 1.2.4'!$D$71+'IND 1.3.1'!$F$83,"# ##0,00")&amp;IF('IND 1.1.4'!$C$72+'IND 1.1.4'!$D$72+'IND 1.2.4'!$C$71+'IND 1.2.4'!$D$71+'IND 1.3.1'!$F$83&lt;2," agent en Equivalent Temps Plein Rémunéré (ETPR) sur l'année 2020"," agents en Equivalent Temps Plein Rémunéré (ETPR) sur l'année 2020")</f>
        <v>5 895,90 agents en Equivalent Temps Plein Rémunéré (ETPR) sur l'année 2020</v>
      </c>
      <c r="N43" s="2096"/>
      <c r="O43" s="2096"/>
      <c r="P43" s="2096"/>
      <c r="Q43" s="2096"/>
      <c r="R43" s="2096"/>
      <c r="S43" s="2096"/>
      <c r="T43" s="2096"/>
      <c r="U43" s="2096"/>
      <c r="V43" s="2096"/>
      <c r="W43" s="2096"/>
      <c r="X43" s="2044" t="s">
        <v>2640</v>
      </c>
      <c r="Y43" s="2065" t="str">
        <f>IF(SUM('IND 6.1.4'!$B$11:$C$11,'IND 6.1.4'!$B$15:$C$15,'IND 6.1.4'!$B$19:$C$19,'IND 6.1.4'!$B$22:$C$22,'IND 6.1.4'!$B$29:$B$33,'IND 6.1.4'!$C$29:$C$33,'IND 6.1.4'!$B$38:$C$41)=0,"Aucune sanction disciplinaire prononcée en 2020",IF(SUM('IND 6.1.4'!$B$11:$C$11,'IND 6.1.4'!$B$15:$C$15,'IND 6.1.4'!$B$19:$C$19,'IND 6.1.4'!$B$22:$C$22,'IND 6.1.4'!$B$29:$B$33,'IND 6.1.4'!$C$29:$C$33,'IND 6.1.4'!$B$38:$C$41)=1,"Une sanction disciplinaire prononcée en 2020",SUM('IND 6.1.4'!$B$11:$C$11,'IND 6.1.4'!$B$15:$C$15,'IND 6.1.4'!$B$19:$C$19,'IND 6.1.4'!$B$22:$C$22,'IND 6.1.4'!$B$29:$B$33,'IND 6.1.4'!$C$29:$C$33,'IND 6.1.4'!$B$38:$C$41)&amp;" sanctions disciplinaires prononcées en 2020"))</f>
        <v>26 sanctions disciplinaires prononcées en 2020</v>
      </c>
      <c r="Z43" s="2065"/>
      <c r="AA43" s="2065"/>
      <c r="AB43" s="2065"/>
      <c r="AC43" s="2065"/>
      <c r="AD43" s="2065"/>
      <c r="AE43" s="2065"/>
      <c r="AF43" s="2065"/>
      <c r="AG43" s="2065"/>
      <c r="AH43" s="2065"/>
      <c r="AJ43" s="2093"/>
      <c r="AK43" s="2093"/>
      <c r="AL43" s="2093"/>
      <c r="AM43" s="2093"/>
      <c r="AN43" s="2095"/>
      <c r="AO43" s="2095"/>
      <c r="AW43" s="2051" t="s">
        <v>2750</v>
      </c>
      <c r="AX43" s="2051"/>
      <c r="AY43" s="2051"/>
      <c r="AZ43" s="2051"/>
      <c r="BA43" s="2051"/>
      <c r="BB43" s="1388"/>
      <c r="BC43" s="1334" t="s">
        <v>2640</v>
      </c>
      <c r="BD43" s="1428" t="s">
        <v>2751</v>
      </c>
      <c r="BE43" s="1406"/>
      <c r="BF43" s="1406"/>
      <c r="BG43" s="1406"/>
      <c r="BH43" s="1407"/>
      <c r="BI43" s="1316"/>
      <c r="BJ43" s="1316"/>
      <c r="BK43" s="1316"/>
      <c r="BL43" s="1316"/>
      <c r="BM43" s="1316"/>
      <c r="BN43" s="1316"/>
      <c r="BO43" s="1316"/>
      <c r="BP43" s="1316"/>
      <c r="BQ43" s="1316"/>
      <c r="BR43" s="1316"/>
      <c r="BS43" s="1316"/>
      <c r="BT43" s="1316"/>
      <c r="BY43" s="2042" t="s">
        <v>2752</v>
      </c>
      <c r="BZ43" s="2042"/>
      <c r="CA43" s="2042"/>
      <c r="CB43" s="2042"/>
      <c r="CC43" s="2042"/>
      <c r="CD43" s="2042"/>
      <c r="CE43" s="2042"/>
      <c r="CQ43" s="1359"/>
      <c r="CR43" s="1359"/>
      <c r="CS43" s="1359"/>
      <c r="CT43" s="1359"/>
      <c r="CU43" s="1359"/>
      <c r="CV43" s="1359"/>
      <c r="CW43" s="1359"/>
      <c r="CX43" s="1359"/>
      <c r="GJ43" s="1341">
        <v>76</v>
      </c>
      <c r="GK43" s="1341" t="s">
        <v>2748</v>
      </c>
      <c r="GL43" s="1341" t="s">
        <v>2753</v>
      </c>
      <c r="GO43" s="1429" t="s">
        <v>2754</v>
      </c>
      <c r="GP43" s="1329">
        <f>'IND 1.1.1'!I273</f>
        <v>0</v>
      </c>
      <c r="GQ43" s="1329">
        <f>'IND 1.2.1'!K67</f>
        <v>1</v>
      </c>
      <c r="GR43" s="1330">
        <f t="shared" si="0"/>
        <v>1</v>
      </c>
      <c r="GS43" s="1329">
        <f>RANK(GR43,$GR$1:$GR$58,0)+COUNTIF(GR$1:GR43,GR43)-1</f>
        <v>36</v>
      </c>
      <c r="GT43" s="1329">
        <f t="shared" si="1"/>
        <v>36</v>
      </c>
      <c r="GU43" s="1331">
        <f t="shared" si="2"/>
        <v>1.7436791630340019E-4</v>
      </c>
      <c r="GV43" s="1332" t="str">
        <f t="shared" si="3"/>
        <v>Biologistes-vétérinaires-pharmaciens</v>
      </c>
      <c r="GW43" s="1332" t="s">
        <v>1852</v>
      </c>
      <c r="GX43" s="1333">
        <f t="shared" si="4"/>
        <v>1</v>
      </c>
      <c r="GY43" s="1333">
        <f t="shared" si="5"/>
        <v>0</v>
      </c>
      <c r="GZ43" s="1333">
        <f t="shared" si="5"/>
        <v>1</v>
      </c>
    </row>
    <row r="44" spans="1:208" ht="13.35" customHeight="1">
      <c r="A44" s="2053" t="s">
        <v>2715</v>
      </c>
      <c r="B44" s="2053"/>
      <c r="C44" s="2054"/>
      <c r="D44" s="1422">
        <f>IFERROR('IND 1.1.1'!$I$357/$D$69,"")</f>
        <v>0</v>
      </c>
      <c r="E44" s="1422">
        <f>IFERROR('IND 1.2.1'!K85/$D$70,"")</f>
        <v>0</v>
      </c>
      <c r="F44" s="1423">
        <f>IFERROR(('IND 1.1.1'!I357+'IND 1.2.1'!K85)/(synthese!$D$69+synthese!$D$70),"")</f>
        <v>0</v>
      </c>
      <c r="L44" s="2037"/>
      <c r="M44" s="2096"/>
      <c r="N44" s="2096"/>
      <c r="O44" s="2096"/>
      <c r="P44" s="2096"/>
      <c r="Q44" s="2096"/>
      <c r="R44" s="2096"/>
      <c r="S44" s="2096"/>
      <c r="T44" s="2096"/>
      <c r="U44" s="2096"/>
      <c r="V44" s="2096"/>
      <c r="W44" s="2096"/>
      <c r="X44" s="2044"/>
      <c r="Y44" s="2065"/>
      <c r="Z44" s="2065"/>
      <c r="AA44" s="2065"/>
      <c r="AB44" s="2065"/>
      <c r="AC44" s="2065"/>
      <c r="AD44" s="2065"/>
      <c r="AE44" s="2065"/>
      <c r="AF44" s="2065"/>
      <c r="AG44" s="2065"/>
      <c r="AH44" s="2065"/>
      <c r="AJ44" s="2055" t="str">
        <f>IF($B$21+$B$20=0," ","Ensemble")</f>
        <v>Ensemble</v>
      </c>
      <c r="AK44" s="2055"/>
      <c r="AL44" s="2055"/>
      <c r="AM44" s="2055"/>
      <c r="AN44" s="2057">
        <f>IF($B$21+$B$20=0," ",AU72)</f>
        <v>0.186633074302369</v>
      </c>
      <c r="AO44" s="2057"/>
      <c r="AW44" s="2051"/>
      <c r="AX44" s="2051"/>
      <c r="AY44" s="2051"/>
      <c r="AZ44" s="2051"/>
      <c r="BA44" s="2051"/>
      <c r="BB44" s="1388"/>
      <c r="BC44" s="1383"/>
      <c r="BD44" s="2059" t="str">
        <f>IF(SUM('IND 4.1.1-4.1.2'!B29:B30)=0, "Aucune dépense en faveur de la prévention, de la sécurité et de l’amélioration des conditions de travail n'a été effectuée","La collectivité a effectué des dépenses en faveur de la prévention, de la sécurité et de l’amélioration des conditions de travail")</f>
        <v>La collectivité a effectué des dépenses en faveur de la prévention, de la sécurité et de l’amélioration des conditions de travail</v>
      </c>
      <c r="BE44" s="2059"/>
      <c r="BF44" s="2059"/>
      <c r="BG44" s="2059"/>
      <c r="BH44" s="2059"/>
      <c r="BN44" s="1327"/>
      <c r="BO44" s="1327"/>
      <c r="BP44" s="1327"/>
      <c r="BQ44" s="1327"/>
      <c r="BR44" s="1327"/>
      <c r="BS44" s="1327"/>
      <c r="BT44" s="1327"/>
      <c r="BW44" s="1430"/>
      <c r="BX44" s="1430"/>
      <c r="BY44" s="2042"/>
      <c r="BZ44" s="2042"/>
      <c r="CA44" s="2042"/>
      <c r="CB44" s="2042"/>
      <c r="CC44" s="2042"/>
      <c r="CD44" s="2042"/>
      <c r="CE44" s="2042"/>
      <c r="CQ44" s="1359"/>
      <c r="CR44" s="1359"/>
      <c r="CS44" s="1359"/>
      <c r="CT44" s="1359"/>
      <c r="CU44" s="1359"/>
      <c r="CV44" s="1359"/>
      <c r="CW44" s="1359"/>
      <c r="CX44" s="1359"/>
      <c r="GJ44" s="1341">
        <v>75</v>
      </c>
      <c r="GK44" s="1341" t="s">
        <v>2755</v>
      </c>
      <c r="GL44" s="1431" t="s">
        <v>2756</v>
      </c>
      <c r="GO44" s="1429" t="s">
        <v>2757</v>
      </c>
      <c r="GP44" s="1329">
        <f>'IND 1.1.1'!I278</f>
        <v>0</v>
      </c>
      <c r="GQ44" s="1329">
        <f>'IND 1.2.1'!K68</f>
        <v>0</v>
      </c>
      <c r="GR44" s="1330">
        <f t="shared" si="0"/>
        <v>0</v>
      </c>
      <c r="GS44" s="1329">
        <f>RANK(GR44,$GR$1:$GR$58,0)+COUNTIF(GR$1:GR44,GR44)-1</f>
        <v>47</v>
      </c>
      <c r="GT44" s="1329">
        <f t="shared" si="1"/>
        <v>47</v>
      </c>
      <c r="GU44" s="1331">
        <f t="shared" si="2"/>
        <v>0</v>
      </c>
      <c r="GV44" s="1332" t="str">
        <f t="shared" si="3"/>
        <v xml:space="preserve">Techniciens paramédicaux </v>
      </c>
      <c r="GW44" s="1332" t="s">
        <v>447</v>
      </c>
      <c r="GX44" s="1333">
        <f t="shared" si="4"/>
        <v>0</v>
      </c>
      <c r="GY44" s="1333">
        <f t="shared" si="5"/>
        <v>0</v>
      </c>
      <c r="GZ44" s="1333">
        <f t="shared" si="5"/>
        <v>0</v>
      </c>
    </row>
    <row r="45" spans="1:208" ht="13.35" customHeight="1">
      <c r="A45" s="2060" t="s">
        <v>2718</v>
      </c>
      <c r="B45" s="2060"/>
      <c r="C45" s="2061"/>
      <c r="D45" s="1432">
        <f>IFERROR('IND 1.1.1'!$I$374/$D$69,"")</f>
        <v>2.6881720430107527E-2</v>
      </c>
      <c r="E45" s="1432">
        <f>IFERROR('IND 1.2.1'!K89/$D$70,"")</f>
        <v>5.0055617352614018E-2</v>
      </c>
      <c r="F45" s="1433">
        <f>IFERROR(('IND 1.1.1'!I374+'IND 1.2.1'!K89)/(synthese!$D$69+synthese!$D$70),"")</f>
        <v>3.051438535309503E-2</v>
      </c>
      <c r="L45" s="1434"/>
      <c r="M45" s="2018" t="str">
        <f>"&gt; " &amp; TEXT('IND 1.1.4'!C72+'IND 1.1.4'!D72,"# ##0,00")</f>
        <v>&gt; 4 505,49</v>
      </c>
      <c r="N45" s="2018"/>
      <c r="O45" s="1351" t="str">
        <f>IF('IND 1.1.4'!$C$72+'IND 1.1.4'!$D$72&lt;2,"fonctionnaire","fonctionnaires")</f>
        <v>fonctionnaires</v>
      </c>
      <c r="P45" s="1351"/>
      <c r="S45" s="1370" t="s">
        <v>2758</v>
      </c>
      <c r="Y45" s="2062" t="s">
        <v>2987</v>
      </c>
      <c r="Z45" s="2062"/>
      <c r="AA45" s="2062"/>
      <c r="AB45" s="2062"/>
      <c r="AC45" s="2062"/>
      <c r="AD45" s="1435"/>
      <c r="AE45" s="1435"/>
      <c r="AF45" s="1435"/>
      <c r="AG45" s="1435"/>
      <c r="AH45" s="1435"/>
      <c r="AJ45" s="2056"/>
      <c r="AK45" s="2056"/>
      <c r="AL45" s="2056"/>
      <c r="AM45" s="2056"/>
      <c r="AN45" s="2058"/>
      <c r="AO45" s="2058"/>
      <c r="AW45" s="2051"/>
      <c r="AX45" s="2051"/>
      <c r="AY45" s="2051"/>
      <c r="AZ45" s="2051"/>
      <c r="BA45" s="2051"/>
      <c r="BB45" s="1388"/>
      <c r="BC45" s="1383"/>
      <c r="BD45" s="2059"/>
      <c r="BE45" s="2059"/>
      <c r="BF45" s="2059"/>
      <c r="BG45" s="2059"/>
      <c r="BH45" s="2059"/>
      <c r="BI45" s="2010" t="str">
        <f>"Æ"</f>
        <v>Æ</v>
      </c>
      <c r="BJ45" s="2043" t="s">
        <v>2759</v>
      </c>
      <c r="BK45" s="2043"/>
      <c r="BL45" s="2043"/>
      <c r="BM45" s="2043"/>
      <c r="BN45" s="2044" t="str">
        <f>IF(BO45=" "," ","Æ")</f>
        <v>Æ</v>
      </c>
      <c r="BO45" s="2043" t="str">
        <f>IF('IND 6.1.1-6.1.3'!B7=0," ","Comité Technique Local ")</f>
        <v xml:space="preserve">Comité Technique Local </v>
      </c>
      <c r="BP45" s="2043"/>
      <c r="BQ45" s="2043"/>
      <c r="BR45" s="2043"/>
      <c r="BS45" s="1436"/>
      <c r="BV45" s="1430"/>
      <c r="BW45" s="1430"/>
      <c r="BX45" s="1430"/>
      <c r="BY45" s="2042"/>
      <c r="BZ45" s="2042"/>
      <c r="CA45" s="2042"/>
      <c r="CB45" s="2042"/>
      <c r="CC45" s="2042"/>
      <c r="CD45" s="2042"/>
      <c r="CE45" s="2042"/>
      <c r="CQ45" s="1319"/>
      <c r="CR45" s="1319"/>
      <c r="CS45" s="1319"/>
      <c r="CT45" s="1319"/>
      <c r="CU45" s="1319"/>
      <c r="CV45" s="1319"/>
      <c r="CW45" s="1319"/>
      <c r="CX45" s="1319"/>
      <c r="GJ45" s="1341">
        <v>77</v>
      </c>
      <c r="GK45" s="1341" t="s">
        <v>2755</v>
      </c>
      <c r="GL45" s="1341" t="s">
        <v>2760</v>
      </c>
      <c r="GO45" s="1386" t="s">
        <v>1434</v>
      </c>
      <c r="GP45" s="1329">
        <f>'IND 1.1.1'!I286</f>
        <v>4</v>
      </c>
      <c r="GQ45" s="1329">
        <f>'IND 1.2.1'!K71</f>
        <v>0</v>
      </c>
      <c r="GR45" s="1330">
        <f t="shared" si="0"/>
        <v>4</v>
      </c>
      <c r="GS45" s="1329">
        <f>RANK(GR45,$GR$1:$GR$58,0)+COUNTIF(GR$1:GR45,GR45)-1</f>
        <v>29</v>
      </c>
      <c r="GT45" s="1329">
        <f t="shared" si="1"/>
        <v>29</v>
      </c>
      <c r="GU45" s="1331">
        <f t="shared" si="2"/>
        <v>6.9747166521360075E-4</v>
      </c>
      <c r="GV45" s="1332" t="str">
        <f t="shared" si="3"/>
        <v>Directeurs de police municipale</v>
      </c>
      <c r="GW45" s="1332" t="s">
        <v>1852</v>
      </c>
      <c r="GX45" s="1333">
        <f t="shared" si="4"/>
        <v>4</v>
      </c>
      <c r="GY45" s="1333">
        <f t="shared" si="5"/>
        <v>4</v>
      </c>
      <c r="GZ45" s="1333">
        <f t="shared" si="5"/>
        <v>0</v>
      </c>
    </row>
    <row r="46" spans="1:208" ht="13.35" customHeight="1">
      <c r="A46" s="2045" t="s">
        <v>768</v>
      </c>
      <c r="B46" s="2045"/>
      <c r="C46" s="2046"/>
      <c r="D46" s="1437">
        <f>SUM($D$38:$D$45)</f>
        <v>1</v>
      </c>
      <c r="E46" s="1437">
        <f>SUM($E$38:$E$45)</f>
        <v>1</v>
      </c>
      <c r="F46" s="1438">
        <f>SUM($F$38:$F$45)</f>
        <v>0.99999999999999989</v>
      </c>
      <c r="M46" s="2018" t="str">
        <f>"&gt; " &amp;TEXT('IND 1.2.4'!C71+'IND 1.2.4'!D71,"# ##0,00")</f>
        <v>&gt; 700,68</v>
      </c>
      <c r="N46" s="2018"/>
      <c r="O46" s="1351" t="str">
        <f>IF('IND 1.2.4'!$C$71+'IND 1.2.4'!$D$71&lt;2,"contractuel permanent","contractuels permanents")</f>
        <v>contractuels permanents</v>
      </c>
      <c r="X46" s="1439"/>
      <c r="Y46" s="2062"/>
      <c r="Z46" s="2062"/>
      <c r="AA46" s="2062"/>
      <c r="AB46" s="2062"/>
      <c r="AC46" s="2062"/>
      <c r="AD46" s="1351"/>
      <c r="AE46" s="2047" t="str">
        <f>IF(SUM('IND 6.1.4'!$B$11:$C$11,'IND 6.1.4'!$B$15:$C$15,'IND 6.1.4'!$B$19:$C$19,'IND 6.1.4'!$B$22:$C$22,'IND 6.1.4'!$B$29:$B$33,'IND 6.1.4'!$C$29:$C$33,'IND 6.1.4'!$B$38:$C$41)=0,"",IF(SUM('IND 6.1.4'!$B$29:$C$33)=0,"Aucune sanction prononcée à l'encontre de fonctionnaires stagiaires ",IF(SUM('IND 6.1.4'!$B$29:$C$33)=1,"Une sanction prononcée  à l'encontre d'un fonctionnaire stagiaire",SUM('IND 6.1.4'!$B$29:$C$33)&amp;" sanctions prononcées  à l'encontre de fonctionnaires stagiaires")))</f>
        <v xml:space="preserve">Aucune sanction prononcée à l'encontre de fonctionnaires stagiaires </v>
      </c>
      <c r="AF46" s="2047"/>
      <c r="AG46" s="2047"/>
      <c r="AH46" s="2047"/>
      <c r="BB46" s="1388"/>
      <c r="BC46" s="1383"/>
      <c r="BD46" s="2059"/>
      <c r="BE46" s="2059"/>
      <c r="BF46" s="2059"/>
      <c r="BG46" s="2059"/>
      <c r="BH46" s="2059"/>
      <c r="BI46" s="2010"/>
      <c r="BJ46" s="2043"/>
      <c r="BK46" s="2043"/>
      <c r="BL46" s="2043"/>
      <c r="BM46" s="2043"/>
      <c r="BN46" s="2044"/>
      <c r="BO46" s="2043"/>
      <c r="BP46" s="2043"/>
      <c r="BQ46" s="2043"/>
      <c r="BR46" s="2043"/>
      <c r="BV46" s="1430"/>
      <c r="BW46" s="1430"/>
      <c r="BX46" s="1430"/>
      <c r="BY46" s="2042"/>
      <c r="BZ46" s="2042"/>
      <c r="CA46" s="2042"/>
      <c r="CB46" s="2042"/>
      <c r="CC46" s="2042"/>
      <c r="CD46" s="2042"/>
      <c r="CE46" s="2042"/>
      <c r="CQ46" s="1440"/>
      <c r="CR46" s="1440"/>
      <c r="CS46" s="1440"/>
      <c r="CT46" s="1440"/>
      <c r="CU46" s="1440"/>
      <c r="CV46" s="1440"/>
      <c r="CW46" s="1440"/>
      <c r="CX46" s="1440"/>
      <c r="GJ46" s="1341">
        <v>78</v>
      </c>
      <c r="GK46" s="1341" t="s">
        <v>2755</v>
      </c>
      <c r="GL46" s="1431" t="s">
        <v>2756</v>
      </c>
      <c r="GO46" s="1386" t="s">
        <v>2189</v>
      </c>
      <c r="GP46" s="1329">
        <f>'IND 1.1.1'!I292</f>
        <v>50</v>
      </c>
      <c r="GQ46" s="1329">
        <f>'IND 1.2.1'!K72</f>
        <v>0</v>
      </c>
      <c r="GR46" s="1330">
        <f t="shared" si="0"/>
        <v>50</v>
      </c>
      <c r="GS46" s="1329">
        <f>RANK(GR46,$GR$1:$GR$58,0)+COUNTIF(GR$1:GR46,GR46)-1</f>
        <v>16</v>
      </c>
      <c r="GT46" s="1329">
        <f t="shared" si="1"/>
        <v>16</v>
      </c>
      <c r="GU46" s="1331">
        <f t="shared" si="2"/>
        <v>8.7183958151700082E-3</v>
      </c>
      <c r="GV46" s="1332" t="str">
        <f t="shared" si="3"/>
        <v>Chefs de service de police municipale</v>
      </c>
      <c r="GW46" s="1332" t="s">
        <v>447</v>
      </c>
      <c r="GX46" s="1333">
        <f t="shared" si="4"/>
        <v>50</v>
      </c>
      <c r="GY46" s="1333">
        <f t="shared" si="5"/>
        <v>50</v>
      </c>
      <c r="GZ46" s="1333">
        <f t="shared" si="5"/>
        <v>0</v>
      </c>
    </row>
    <row r="47" spans="1:208" ht="13.35" customHeight="1">
      <c r="M47" s="2018" t="str">
        <f>"&gt; " &amp;TEXT('IND 1.3.1'!F83,"# ##0,00")</f>
        <v>&gt; 689,73</v>
      </c>
      <c r="N47" s="2018"/>
      <c r="O47" s="1351" t="str">
        <f>IF('IND 1.3.1'!$F$83&lt;2,"contractuel non permanent","contractuels non permanents")</f>
        <v>contractuels non permanents</v>
      </c>
      <c r="P47" s="1441"/>
      <c r="Q47" s="1441"/>
      <c r="X47" s="1439"/>
      <c r="Y47" s="1351"/>
      <c r="Z47" s="1442"/>
      <c r="AA47" s="1443" t="s">
        <v>707</v>
      </c>
      <c r="AB47" s="1443" t="s">
        <v>708</v>
      </c>
      <c r="AC47" s="1444"/>
      <c r="AD47" s="1351"/>
      <c r="AE47" s="2047"/>
      <c r="AF47" s="2047"/>
      <c r="AG47" s="2047"/>
      <c r="AH47" s="2047"/>
      <c r="AW47" s="2048" t="str">
        <f>IF(SUM('IND 1.6.1'!B17:E19)=0,"Aucun travailleur handicapé employé sur emploi permanent ",
IF(SUM('IND 1.6.1'!B17:E19)&lt;2,SUM('IND 1.6.1'!B17:E19) &amp;" travailleur handicapé employé sur emploi permanent ",
SUM('IND 1.6.1'!B17:E19) &amp;" travailleurs handicapés employés sur emploi permanent "))</f>
        <v xml:space="preserve">452 travailleurs handicapés employés sur emploi permanent </v>
      </c>
      <c r="AX47" s="2048"/>
      <c r="AY47" s="2048"/>
      <c r="AZ47" s="2048"/>
      <c r="BA47" s="2048"/>
      <c r="BB47" s="1388"/>
      <c r="BC47" s="1383"/>
      <c r="BD47" s="2059"/>
      <c r="BE47" s="2059"/>
      <c r="BF47" s="2059"/>
      <c r="BG47" s="2059"/>
      <c r="BH47" s="2059"/>
      <c r="BJ47" s="2049" t="str">
        <f>IF('IND 6.1.1-6.1.3'!B59=0,"Aucun jour de grève recensé en 2020",IF('IND 6.1.1-6.1.3'!B59&lt;2,'IND 6.1.1-6.1.3'!B59&amp;" jour de grève recensé en 2020",'IND 6.1.1-6.1.3'!B59&amp;" jours de grève recensés en 2020"))</f>
        <v>2656 jours de grève recensés en 2020</v>
      </c>
      <c r="BK47" s="2049"/>
      <c r="BL47" s="2049"/>
      <c r="BM47" s="2049"/>
      <c r="BN47" s="1445"/>
      <c r="BO47" s="2050" t="str">
        <f>IF('IND 6.1.1-6.1.3'!B7=0," ",IF('IND 6.1.1-6.1.3'!B7&lt;2,'IND 6.1.1-6.1.3'!B7&amp;" réunion en 2020 dans la collectivité",'IND 6.1.1-6.1.3'!B7&amp;" réunions en 2020 dans la collectivité"))</f>
        <v>4 réunions en 2020 dans la collectivité</v>
      </c>
      <c r="BP47" s="2050"/>
      <c r="BQ47" s="2050"/>
      <c r="BR47" s="2050"/>
      <c r="BS47" s="2050"/>
      <c r="BX47" s="1430"/>
      <c r="BY47" s="2042"/>
      <c r="BZ47" s="2042"/>
      <c r="CA47" s="2042"/>
      <c r="CB47" s="2042"/>
      <c r="CC47" s="2042"/>
      <c r="CD47" s="2042"/>
      <c r="CE47" s="2042"/>
      <c r="CQ47" s="1440"/>
      <c r="CR47" s="1440"/>
      <c r="CS47" s="1440"/>
      <c r="CT47" s="1440"/>
      <c r="CU47" s="1440"/>
      <c r="CV47" s="1440"/>
      <c r="CW47" s="1440"/>
      <c r="CX47" s="1440"/>
      <c r="GJ47" s="1341">
        <v>91</v>
      </c>
      <c r="GK47" s="1341" t="s">
        <v>2755</v>
      </c>
      <c r="GL47" s="1431" t="s">
        <v>2756</v>
      </c>
      <c r="GO47" s="1386" t="s">
        <v>2190</v>
      </c>
      <c r="GP47" s="1329">
        <f>'IND 1.1.1'!I298</f>
        <v>375</v>
      </c>
      <c r="GQ47" s="1329">
        <f>'IND 1.2.1'!K73</f>
        <v>0</v>
      </c>
      <c r="GR47" s="1330">
        <f t="shared" si="0"/>
        <v>375</v>
      </c>
      <c r="GS47" s="1329">
        <f>RANK(GR47,$GR$1:$GR$58,0)+COUNTIF(GR$1:GR47,GR47)-1</f>
        <v>5</v>
      </c>
      <c r="GT47" s="1329">
        <f t="shared" si="1"/>
        <v>5</v>
      </c>
      <c r="GU47" s="1331">
        <f t="shared" si="2"/>
        <v>6.5387968613775063E-2</v>
      </c>
      <c r="GV47" s="1332" t="str">
        <f t="shared" si="3"/>
        <v>Agents de police municipale</v>
      </c>
      <c r="GW47" s="1332" t="s">
        <v>375</v>
      </c>
      <c r="GX47" s="1333">
        <f t="shared" si="4"/>
        <v>375</v>
      </c>
      <c r="GY47" s="1333">
        <f t="shared" si="5"/>
        <v>375</v>
      </c>
      <c r="GZ47" s="1333">
        <f t="shared" si="5"/>
        <v>0</v>
      </c>
    </row>
    <row r="48" spans="1:208" ht="13.35" customHeight="1">
      <c r="A48" s="1363" t="s">
        <v>2640</v>
      </c>
      <c r="B48" s="2065" t="s">
        <v>2761</v>
      </c>
      <c r="C48" s="2065"/>
      <c r="D48" s="2065"/>
      <c r="E48" s="2065"/>
      <c r="F48" s="2065"/>
      <c r="G48" s="1334" t="s">
        <v>2640</v>
      </c>
      <c r="H48" s="2116" t="str">
        <f>IF(H52="","Cadre d'emplois","Les principaux cadres d’emplois")</f>
        <v>Les principaux cadres d’emplois</v>
      </c>
      <c r="I48" s="2116"/>
      <c r="J48" s="2116"/>
      <c r="K48" s="2116"/>
      <c r="M48" s="2099" t="str">
        <f>TEXT('IND 4.2.1'!$C$10,"# ##0") &amp; IF('IND 4.2.1'!$C$10&lt;2," heure travaillée rémunérée en 2020"," heures travaillées rémunérées en 2020")</f>
        <v>10 730 538 heures travaillées rémunérées en 2020</v>
      </c>
      <c r="N48" s="2099"/>
      <c r="O48" s="2099"/>
      <c r="P48" s="2099"/>
      <c r="Q48" s="2099"/>
      <c r="R48" s="2099"/>
      <c r="S48" s="2099"/>
      <c r="T48" s="2099"/>
      <c r="U48" s="2099"/>
      <c r="V48" s="2099"/>
      <c r="W48" s="2099"/>
      <c r="X48" s="1439"/>
      <c r="Y48" s="2117" t="s">
        <v>2762</v>
      </c>
      <c r="Z48" s="2117"/>
      <c r="AA48" s="1446">
        <f>'IND 6.1.4'!$B$11</f>
        <v>18</v>
      </c>
      <c r="AB48" s="1446">
        <f>'IND 6.1.4'!$C$11</f>
        <v>8</v>
      </c>
      <c r="AC48" s="1351"/>
      <c r="AD48" s="1351"/>
      <c r="AE48" s="2047"/>
      <c r="AF48" s="2047"/>
      <c r="AG48" s="2047"/>
      <c r="AH48" s="2047"/>
      <c r="AI48" s="1389" t="str">
        <f>IF($C$30=" "," ","a")</f>
        <v>a</v>
      </c>
      <c r="AJ48" s="2029" t="str">
        <f>IF(OR('IND 3.1.1-3.4.3'!$F$13="(vide)",'IND 3.1.1-3.4.3'!$F$13="Ne sait pas"),"Aucune information concernant la mise en place du RIFSEEP",IF('IND 3.1.1-3.4.3'!$F$13="Oui","Le RIFSEEP a été mis en place pour les fonctionnaires"&amp;IF('IND 3.1.1-3.4.3'!$F$62="Oui"," et pour les contractuels"&amp;IF('IND 3.1.1-3.4.3'!$F$14="Oui"," ainsi que le CIA",""),""),IF('IND 3.1.1-3.4.3'!$F$13="Non","Le RIFSEEP n'a pas été mis en place")))</f>
        <v>Le RIFSEEP a été mis en place pour les fonctionnaires et pour les contractuels ainsi que le CIA</v>
      </c>
      <c r="AK48" s="2029"/>
      <c r="AL48" s="2029"/>
      <c r="AM48" s="2029"/>
      <c r="AN48" s="2029"/>
      <c r="AO48" s="2029"/>
      <c r="AP48" s="1389" t="str">
        <f>IF($C$30=" "," ","a")</f>
        <v>a</v>
      </c>
      <c r="AQ48" s="2029" t="str">
        <f>IF(SUM('IND 3.4.4'!$B$86:$C$86,'IND 3.4.4'!$F$86:$G$86,'IND 3.4.4'!$H$86:$I$86,'IND 3.4.4'!$L$86:$M$86)=0,"Aucune heure supplémentaire réalisée et rémunérée en 2020",IF(SUM('IND 3.4.4'!$B$86:$C$86,'IND 3.4.4'!$F$86:$G$86,'IND 3.4.4'!$H$86:$I$86,'IND 3.4.4'!$L$86:$M$86)=1,"Une heure supplémentaire réalisée et rémunérée en 2020",SUM('IND 3.4.4'!$B$86:$C$86,'IND 3.4.4'!$F$86:$G$86,'IND 3.4.4'!$H$86:$I$86,'IND 3.4.4'!$L$86:$M$86)&amp;" heures supplémentaires réalisées et rémunérées en 2020"))</f>
        <v>102472,2 heures supplémentaires réalisées et rémunérées en 2020</v>
      </c>
      <c r="AR48" s="2029"/>
      <c r="AS48" s="2029"/>
      <c r="AT48" s="2029"/>
      <c r="AU48" s="2029"/>
      <c r="AV48" s="2029"/>
      <c r="AW48" s="2048"/>
      <c r="AX48" s="2048"/>
      <c r="AY48" s="2048"/>
      <c r="AZ48" s="2048"/>
      <c r="BA48" s="2048"/>
      <c r="BB48" s="1388"/>
      <c r="BC48" s="1383"/>
      <c r="BD48" s="2059"/>
      <c r="BE48" s="2059"/>
      <c r="BF48" s="2059"/>
      <c r="BG48" s="2059"/>
      <c r="BH48" s="2059"/>
      <c r="BI48" s="1363"/>
      <c r="BJ48" s="2049"/>
      <c r="BK48" s="2049"/>
      <c r="BL48" s="2049"/>
      <c r="BM48" s="2049"/>
      <c r="BN48" s="1445"/>
      <c r="BO48" s="2050" t="str">
        <f>IF('IND 6.1.1-6.1.3'!B18=0,"  ",IF('IND 6.1.1-6.1.3'!B18&lt;2,'IND 6.1.1-6.1.3'!B18&amp;" réunion du CHSCT",'IND 6.1.1-6.1.3'!B18&amp;" réunions du CHSCT"))</f>
        <v>3 réunions du CHSCT</v>
      </c>
      <c r="BP48" s="2050"/>
      <c r="BQ48" s="2050"/>
      <c r="BR48" s="2050"/>
      <c r="BS48" s="2050"/>
      <c r="BY48" s="2042"/>
      <c r="BZ48" s="2042"/>
      <c r="CA48" s="2042"/>
      <c r="CB48" s="2042"/>
      <c r="CC48" s="2042"/>
      <c r="CD48" s="2042"/>
      <c r="CE48" s="2042"/>
      <c r="CQ48" s="1440"/>
      <c r="CR48" s="1440"/>
      <c r="CS48" s="1440"/>
      <c r="CT48" s="1440"/>
      <c r="CU48" s="1440"/>
      <c r="CV48" s="1440"/>
      <c r="CW48" s="1440"/>
      <c r="CX48" s="1440"/>
      <c r="GJ48" s="1341">
        <v>92</v>
      </c>
      <c r="GK48" s="1341" t="s">
        <v>2755</v>
      </c>
      <c r="GL48" s="1431" t="s">
        <v>2763</v>
      </c>
      <c r="GO48" s="1386" t="s">
        <v>2191</v>
      </c>
      <c r="GP48" s="1329">
        <f>'IND 1.1.1'!I303</f>
        <v>0</v>
      </c>
      <c r="GQ48" s="1329">
        <f>'IND 1.2.1'!K74</f>
        <v>0</v>
      </c>
      <c r="GR48" s="1330">
        <f t="shared" si="0"/>
        <v>0</v>
      </c>
      <c r="GS48" s="1329">
        <f>RANK(GR48,$GR$1:$GR$58,0)+COUNTIF(GR$1:GR48,GR48)-1</f>
        <v>48</v>
      </c>
      <c r="GT48" s="1329">
        <f t="shared" si="1"/>
        <v>48</v>
      </c>
      <c r="GU48" s="1331">
        <f t="shared" si="2"/>
        <v>0</v>
      </c>
      <c r="GV48" s="1332" t="str">
        <f t="shared" si="3"/>
        <v>Gardes-champêtres</v>
      </c>
      <c r="GW48" s="1332" t="s">
        <v>375</v>
      </c>
      <c r="GX48" s="1333">
        <f t="shared" si="4"/>
        <v>0</v>
      </c>
      <c r="GY48" s="1333">
        <f t="shared" si="5"/>
        <v>0</v>
      </c>
      <c r="GZ48" s="1333">
        <f t="shared" si="5"/>
        <v>0</v>
      </c>
    </row>
    <row r="49" spans="1:208" ht="13.35" customHeight="1">
      <c r="B49" s="2065"/>
      <c r="C49" s="2065"/>
      <c r="D49" s="2065"/>
      <c r="E49" s="2065"/>
      <c r="F49" s="2065"/>
      <c r="H49" s="2116"/>
      <c r="I49" s="2116"/>
      <c r="J49" s="2116"/>
      <c r="K49" s="2116"/>
      <c r="L49" s="1447"/>
      <c r="M49" s="2099"/>
      <c r="N49" s="2099"/>
      <c r="O49" s="2099"/>
      <c r="P49" s="2099"/>
      <c r="Q49" s="2099"/>
      <c r="R49" s="2099"/>
      <c r="S49" s="2099"/>
      <c r="T49" s="2099"/>
      <c r="U49" s="2099"/>
      <c r="V49" s="2099"/>
      <c r="W49" s="2099"/>
      <c r="X49" s="1439"/>
      <c r="Y49" s="1448" t="s">
        <v>2764</v>
      </c>
      <c r="Z49" s="1449"/>
      <c r="AA49" s="1450">
        <f>'IND 6.1.4'!$B$15</f>
        <v>0</v>
      </c>
      <c r="AB49" s="1450">
        <f>'IND 6.1.4'!$C$15</f>
        <v>0</v>
      </c>
      <c r="AC49" s="1351"/>
      <c r="AD49" s="1451"/>
      <c r="AE49" s="2047" t="str">
        <f>IF(SUM('IND 6.1.4'!$B$11:$C$11,'IND 6.1.4'!$B$15:$C$15,'IND 6.1.4'!$B$19:$C$19,'IND 6.1.4'!$B$22:$C$22,'IND 6.1.4'!$B$29:$B$33,'IND 6.1.4'!$C$29:$C$33,'IND 6.1.4'!$B$38:$C$41)=0,"",IF(SUM('IND 6.1.4'!$B$38:$C$41)=0,"Aucune sanction prononcée  à l'encontre d'agents contractuels",IF(SUM('IND 6.1.4'!$B$38:$C$41)=1,"Une sanction prononcée à l'encontre d'un agent contractuel ",SUM('IND 6.1.4'!$B$38:$C$41)&amp;" sanctions prononcées à l'encontre d'agents contractuels")))</f>
        <v>Aucune sanction prononcée  à l'encontre d'agents contractuels</v>
      </c>
      <c r="AF49" s="2047"/>
      <c r="AG49" s="2047"/>
      <c r="AH49" s="2047"/>
      <c r="AI49" s="1452"/>
      <c r="AJ49" s="2029"/>
      <c r="AK49" s="2029"/>
      <c r="AL49" s="2029"/>
      <c r="AM49" s="2029"/>
      <c r="AN49" s="2029"/>
      <c r="AO49" s="2029"/>
      <c r="AP49" s="1452"/>
      <c r="AQ49" s="2029"/>
      <c r="AR49" s="2029"/>
      <c r="AS49" s="2029"/>
      <c r="AT49" s="2029"/>
      <c r="AU49" s="2029"/>
      <c r="AV49" s="2029"/>
      <c r="AW49" s="2048"/>
      <c r="AX49" s="2048"/>
      <c r="AY49" s="2048"/>
      <c r="AZ49" s="2048"/>
      <c r="BA49" s="2048"/>
      <c r="BB49" s="1388"/>
      <c r="BC49" s="1383"/>
      <c r="BD49" s="2052" t="str">
        <f>IF(SUM('IND 4.1.1-4.1.2'!B29:B30) = 0, "  ","Total des dépenses : ")</f>
        <v xml:space="preserve">Total des dépenses : </v>
      </c>
      <c r="BE49" s="2052"/>
      <c r="BF49" s="2052"/>
      <c r="BG49" s="2098">
        <f>IF(SUM('IND 4.1.1-4.1.2'!B29:B30)= 0, "    ",SUM('IND 4.1.1-4.1.2'!B29:B30))</f>
        <v>23750</v>
      </c>
      <c r="BH49" s="2098"/>
      <c r="BI49" s="2010" t="str">
        <f>IF(BJ49=" "," ","Æ")</f>
        <v>Æ</v>
      </c>
      <c r="BJ49" s="2043" t="str">
        <f>IF('IND 6.1.1-6.1.3'!B8=0, " ", "Commissions Administratives Paritaires ")</f>
        <v xml:space="preserve">Commissions Administratives Paritaires </v>
      </c>
      <c r="BK49" s="2043"/>
      <c r="BL49" s="2043"/>
      <c r="BM49" s="2043"/>
      <c r="BN49" s="2043"/>
      <c r="BO49" s="2043"/>
      <c r="BP49" s="2043"/>
      <c r="BQ49" s="2043"/>
      <c r="BR49" s="2043"/>
      <c r="BS49" s="2043"/>
      <c r="BY49" s="2042"/>
      <c r="BZ49" s="2042"/>
      <c r="CA49" s="2042"/>
      <c r="CB49" s="2042"/>
      <c r="CC49" s="2042"/>
      <c r="CD49" s="2042"/>
      <c r="CE49" s="2042"/>
      <c r="CQ49" s="1421"/>
      <c r="CR49" s="1421"/>
      <c r="CS49" s="1440"/>
      <c r="CT49" s="1440"/>
      <c r="CU49" s="1440"/>
      <c r="CV49" s="1440"/>
      <c r="CW49" s="1440"/>
      <c r="CX49" s="1440"/>
      <c r="GJ49" s="1341">
        <v>93</v>
      </c>
      <c r="GK49" s="1341" t="s">
        <v>2755</v>
      </c>
      <c r="GL49" s="1431" t="s">
        <v>2763</v>
      </c>
      <c r="GO49" s="1360" t="s">
        <v>1424</v>
      </c>
      <c r="GP49" s="1329">
        <f>'IND 1.1.1'!I312</f>
        <v>0</v>
      </c>
      <c r="GQ49" s="1329">
        <f>'IND 1.2.1'!K77</f>
        <v>0</v>
      </c>
      <c r="GR49" s="1330">
        <f t="shared" si="0"/>
        <v>0</v>
      </c>
      <c r="GS49" s="1329">
        <f>RANK(GR49,$GR$1:$GR$58,0)+COUNTIF(GR$1:GR49,GR49)-1</f>
        <v>49</v>
      </c>
      <c r="GT49" s="1329">
        <f t="shared" si="1"/>
        <v>49</v>
      </c>
      <c r="GU49" s="1331">
        <f t="shared" si="2"/>
        <v>0</v>
      </c>
      <c r="GV49" s="1332" t="str">
        <f t="shared" si="3"/>
        <v>CONTRÔLEURS, COLONELS</v>
      </c>
      <c r="GW49" s="1332" t="s">
        <v>1852</v>
      </c>
      <c r="GX49" s="1333">
        <f t="shared" si="4"/>
        <v>0</v>
      </c>
      <c r="GY49" s="1333">
        <f t="shared" si="5"/>
        <v>0</v>
      </c>
      <c r="GZ49" s="1333">
        <f t="shared" si="5"/>
        <v>0</v>
      </c>
    </row>
    <row r="50" spans="1:208" ht="13.35" customHeight="1" thickBot="1">
      <c r="B50" s="1353"/>
      <c r="C50" s="1353"/>
      <c r="D50" s="1353"/>
      <c r="E50" s="1353"/>
      <c r="F50" s="1353"/>
      <c r="H50" s="1883" t="s">
        <v>772</v>
      </c>
      <c r="I50" s="1883"/>
      <c r="J50" s="1883"/>
      <c r="K50" s="1453" t="s">
        <v>2765</v>
      </c>
      <c r="L50" s="1316"/>
      <c r="M50" s="1316"/>
      <c r="N50" s="1316"/>
      <c r="O50" s="1316"/>
      <c r="P50" s="1316"/>
      <c r="Q50" s="1316"/>
      <c r="R50" s="1316"/>
      <c r="S50" s="1316"/>
      <c r="T50" s="1316"/>
      <c r="U50" s="1316"/>
      <c r="V50" s="1316"/>
      <c r="W50" s="1316"/>
      <c r="X50" s="1439"/>
      <c r="Y50" s="1448" t="s">
        <v>2766</v>
      </c>
      <c r="Z50" s="1448"/>
      <c r="AA50" s="1450">
        <f>'IND 6.1.4'!$B$19</f>
        <v>0</v>
      </c>
      <c r="AB50" s="1450">
        <f>'IND 6.1.4'!$C$19</f>
        <v>0</v>
      </c>
      <c r="AC50" s="1351"/>
      <c r="AD50" s="1450"/>
      <c r="AE50" s="2047"/>
      <c r="AF50" s="2047"/>
      <c r="AG50" s="2047"/>
      <c r="AH50" s="2047"/>
      <c r="AI50" s="1389" t="str">
        <f>IF($C$30=" "," ","a")</f>
        <v>a</v>
      </c>
      <c r="AJ50" s="2038" t="str">
        <f>IF('IND 3.1.1-3.4.3'!$F$145="Oui","Les primes sont maintenues en cas de congé de maladie ordinaire",IF('IND 3.1.1-3.4.3'!$F$145="Non","Les primes ne sont pas maintenues en cas de congé de maladie ordinaire","Aucune information sur le maintien des primes en cas de congé de maladie ordinaire"))</f>
        <v>Les primes sont maintenues en cas de congé de maladie ordinaire</v>
      </c>
      <c r="AK50" s="2038"/>
      <c r="AL50" s="2038"/>
      <c r="AM50" s="2038"/>
      <c r="AN50" s="2038"/>
      <c r="AO50" s="2038"/>
      <c r="AP50" s="1389" t="str">
        <f>IF($C$30=" "," ","a")</f>
        <v>a</v>
      </c>
      <c r="AQ50" s="2038" t="str">
        <f>IF(SUM('IND 3.4.4'!$D$86:$E$86,'IND 3.4.4'!$J$86:$K$86)=0,"Aucune heure complémentaire réalisée et rémunérée en 2020",IF(SUM('IND 3.4.4'!$D$86:$E$86,'IND 3.4.4'!$J$86:$K$86)=1,"Une heure complémentaire réalisée et rémunérée en 2020",SUM('IND 3.4.4'!$D$86:$E$86,'IND 3.4.4'!$J$86:$K$86)&amp;" heures complémentaires réalisées et rémunérées en 2020"))</f>
        <v>96460,68 heures complémentaires réalisées et rémunérées en 2020</v>
      </c>
      <c r="AR50" s="2038"/>
      <c r="AS50" s="2038"/>
      <c r="AT50" s="2038"/>
      <c r="AU50" s="2038"/>
      <c r="AV50" s="2038"/>
      <c r="AW50" s="1354" t="str">
        <f>IF(AX50=" "," ","a")</f>
        <v>a</v>
      </c>
      <c r="AX50" s="2039" t="str">
        <f>IF(SUM('IND 1.6.1'!B27:C27)=0, "Aucun travailleur handicapé recruté sur emploi non permanent",IF(SUM('IND 1.6.1'!B27:C27)&lt;2,SUM('IND 1.6.1'!B27:C27)&amp; " travailleur handicapé recruté sur emploi non permanent",SUM('IND 1.6.1'!B27:C27) &amp; " travailleurs handicapés recrutés sur emploi non permanent"))</f>
        <v>4 travailleurs handicapés recrutés sur emploi non permanent</v>
      </c>
      <c r="AY50" s="2039"/>
      <c r="AZ50" s="2039"/>
      <c r="BA50" s="2039"/>
      <c r="BB50" s="1388"/>
      <c r="BI50" s="2010"/>
      <c r="BJ50" s="2043"/>
      <c r="BK50" s="2043"/>
      <c r="BL50" s="2043"/>
      <c r="BM50" s="2043"/>
      <c r="BN50" s="2043"/>
      <c r="BO50" s="2043"/>
      <c r="BP50" s="2043"/>
      <c r="BQ50" s="2043"/>
      <c r="BR50" s="2043"/>
      <c r="BS50" s="2043"/>
      <c r="BX50" s="2040" t="s">
        <v>2767</v>
      </c>
      <c r="BY50" s="2040"/>
      <c r="BZ50" s="2041">
        <f ca="1">TODAY()</f>
        <v>45797</v>
      </c>
      <c r="CA50" s="2041"/>
      <c r="CB50" s="2041"/>
      <c r="CC50" s="1454"/>
      <c r="CD50" s="2030" t="s">
        <v>3004</v>
      </c>
      <c r="CE50" s="2030"/>
      <c r="CQ50" s="1420"/>
      <c r="CR50" s="1440"/>
      <c r="CS50" s="1440"/>
      <c r="CT50" s="1440"/>
      <c r="CU50" s="1440"/>
      <c r="CV50" s="1440"/>
      <c r="CW50" s="1440"/>
      <c r="CX50" s="1440"/>
      <c r="GJ50" s="1341">
        <v>94</v>
      </c>
      <c r="GK50" s="1341" t="s">
        <v>2755</v>
      </c>
      <c r="GL50" s="1431" t="s">
        <v>2763</v>
      </c>
      <c r="GO50" s="1360" t="s">
        <v>2768</v>
      </c>
      <c r="GP50" s="1329">
        <f>'IND 1.1.1'!I318</f>
        <v>0</v>
      </c>
      <c r="GQ50" s="1329">
        <f>'IND 1.2.1'!K78</f>
        <v>0</v>
      </c>
      <c r="GR50" s="1330">
        <f t="shared" si="0"/>
        <v>0</v>
      </c>
      <c r="GS50" s="1329">
        <f>RANK(GR50,$GR$1:$GR$58,0)+COUNTIF(GR$1:GR50,GR50)-1</f>
        <v>50</v>
      </c>
      <c r="GT50" s="1329">
        <f t="shared" si="1"/>
        <v>50</v>
      </c>
      <c r="GU50" s="1331">
        <f t="shared" si="2"/>
        <v>0</v>
      </c>
      <c r="GV50" s="1332" t="str">
        <f t="shared" si="3"/>
        <v>Capitaines, commandants, lieutenants-colonels, colonels</v>
      </c>
      <c r="GW50" s="1332" t="s">
        <v>1852</v>
      </c>
      <c r="GX50" s="1333">
        <f t="shared" si="4"/>
        <v>0</v>
      </c>
      <c r="GY50" s="1333">
        <f t="shared" si="5"/>
        <v>0</v>
      </c>
      <c r="GZ50" s="1333">
        <f t="shared" si="5"/>
        <v>0</v>
      </c>
    </row>
    <row r="51" spans="1:208" ht="13.35" customHeight="1">
      <c r="H51" s="2031" t="str">
        <f>IF(OR(K51=0,K51=""),"",VLOOKUP(1,$GT$2:$GV$60,3,FALSE))</f>
        <v>Adjoints techniques</v>
      </c>
      <c r="I51" s="2031"/>
      <c r="J51" s="2031"/>
      <c r="K51" s="1455">
        <f>IF(D69+D70=0,"",VLOOKUP(1,$GT$2:$GU$60,2,FALSE))</f>
        <v>0.3218831734960767</v>
      </c>
      <c r="L51" s="1325"/>
      <c r="M51" s="1325"/>
      <c r="N51" s="1325"/>
      <c r="O51" s="1325"/>
      <c r="P51" s="1325"/>
      <c r="Q51" s="1325"/>
      <c r="R51" s="2032" t="str">
        <f>U134&amp;U120&amp;U112&amp;U108</f>
        <v xml:space="preserve">&gt; 8 agents détachés dans la collectivité et originaires d'une autre structure
&gt; 26 agents détachés au sein de la collectivité
&gt; 10 agents détachés dans une autre structure
&gt; 45 agents dans d'autres situations (disponibilité d'office, congés spécial et hors cadre)
</v>
      </c>
      <c r="S51" s="2032"/>
      <c r="T51" s="2032"/>
      <c r="U51" s="2032"/>
      <c r="V51" s="2032"/>
      <c r="W51" s="2032"/>
      <c r="X51" s="1439"/>
      <c r="Y51" s="1456" t="s">
        <v>2769</v>
      </c>
      <c r="Z51" s="1456"/>
      <c r="AA51" s="1457">
        <f>'IND 6.1.4'!$B$22</f>
        <v>0</v>
      </c>
      <c r="AB51" s="1457">
        <f>'IND 6.1.4'!$C$22</f>
        <v>0</v>
      </c>
      <c r="AC51" s="1351"/>
      <c r="AD51" s="1450"/>
      <c r="AE51" s="2047"/>
      <c r="AF51" s="2047"/>
      <c r="AG51" s="2047"/>
      <c r="AH51" s="2047"/>
      <c r="AJ51" s="2038"/>
      <c r="AK51" s="2038"/>
      <c r="AL51" s="2038"/>
      <c r="AM51" s="2038"/>
      <c r="AN51" s="2038"/>
      <c r="AO51" s="2038"/>
      <c r="AQ51" s="2038"/>
      <c r="AR51" s="2038"/>
      <c r="AS51" s="2038"/>
      <c r="AT51" s="2038"/>
      <c r="AU51" s="2038"/>
      <c r="AV51" s="2038"/>
      <c r="AW51" s="1354"/>
      <c r="AX51" s="2039"/>
      <c r="AY51" s="2039"/>
      <c r="AZ51" s="2039"/>
      <c r="BA51" s="2039"/>
      <c r="BB51" s="1388"/>
      <c r="BC51" s="1334" t="str">
        <f>IF(BD52=" "," ","Æ")</f>
        <v>Æ</v>
      </c>
      <c r="BD51" s="1411" t="str">
        <f>IF(BD52=" "," ","DOCUMENT DE PRÉVENTION")</f>
        <v>DOCUMENT DE PRÉVENTION</v>
      </c>
      <c r="BE51" s="1372"/>
      <c r="BF51" s="1372"/>
      <c r="BG51" s="1372"/>
      <c r="BH51" s="1407"/>
      <c r="BI51" s="1363" t="str">
        <f>IF(BJ53=" "," ","Æ")</f>
        <v>Æ</v>
      </c>
      <c r="BJ51" s="2034" t="str">
        <f>IF('IND 6.1.1-6.1.3'!B8=0," ",IF('IND 6.1.1-6.1.3'!B8&lt;2,'IND 6.1.1-6.1.3'!B8&amp;" réunion en 2020 dans la collectivité",'IND 6.1.1-6.1.3'!B8&amp;" réunions en 2020 dans la collectivité"))</f>
        <v>3 réunions en 2020 dans la collectivité</v>
      </c>
      <c r="BK51" s="2034"/>
      <c r="BL51" s="2034"/>
      <c r="BM51" s="2034"/>
      <c r="BN51" s="2034"/>
      <c r="BO51" s="2034"/>
      <c r="BP51" s="2034"/>
      <c r="BQ51" s="2034"/>
      <c r="BR51" s="2034"/>
      <c r="BS51" s="2034"/>
      <c r="CQ51" s="1420"/>
      <c r="CR51" s="1319"/>
      <c r="GJ51" s="1341">
        <v>95</v>
      </c>
      <c r="GK51" s="1341" t="s">
        <v>2755</v>
      </c>
      <c r="GL51" s="1431" t="s">
        <v>2756</v>
      </c>
      <c r="GO51" s="1360" t="s">
        <v>233</v>
      </c>
      <c r="GP51" s="1329">
        <f>'IND 1.1.1'!I324</f>
        <v>0</v>
      </c>
      <c r="GQ51" s="1329">
        <f>'IND 1.2.1'!K79</f>
        <v>0</v>
      </c>
      <c r="GR51" s="1330">
        <f t="shared" si="0"/>
        <v>0</v>
      </c>
      <c r="GS51" s="1329">
        <f>RANK(GR51,$GR$1:$GR$58,0)+COUNTIF(GR$1:GR51,GR51)-1</f>
        <v>51</v>
      </c>
      <c r="GT51" s="1329">
        <f t="shared" si="1"/>
        <v>51</v>
      </c>
      <c r="GU51" s="1331">
        <f t="shared" si="2"/>
        <v>0</v>
      </c>
      <c r="GV51" s="1332" t="str">
        <f t="shared" si="3"/>
        <v>Médecins, pharmaciens</v>
      </c>
      <c r="GW51" s="1332" t="s">
        <v>1852</v>
      </c>
      <c r="GX51" s="1333">
        <f t="shared" si="4"/>
        <v>0</v>
      </c>
      <c r="GY51" s="1333">
        <f t="shared" si="5"/>
        <v>0</v>
      </c>
      <c r="GZ51" s="1333">
        <f t="shared" si="5"/>
        <v>0</v>
      </c>
    </row>
    <row r="52" spans="1:208" ht="13.35" customHeight="1">
      <c r="H52" s="2031" t="str">
        <f>IF(OR(K52=0,K52=""),"",VLOOKUP(2,$GT$2:$GV$60,3,FALSE))</f>
        <v>Adjoints administratifs</v>
      </c>
      <c r="I52" s="2031"/>
      <c r="J52" s="2031"/>
      <c r="K52" s="1455">
        <f>IF(D69+D70=0,"",VLOOKUP(2,$GT$2:$GU$60,2,FALSE))</f>
        <v>0.17018308631211856</v>
      </c>
      <c r="L52" s="1458"/>
      <c r="M52" s="2033" t="str">
        <f>IF(U147&amp;U126&amp;U105&amp;U106="","Aucune position particulière",U147&amp;U126&amp;U105&amp;U106)</f>
        <v xml:space="preserve">&gt; 2 agents mis à disposition dans la collectivité
&gt; 8 agents mis à disposition dans une autre structure
&gt; 37 agents en congés parental
&gt; 191 agents en disponibilité
</v>
      </c>
      <c r="N52" s="2033"/>
      <c r="O52" s="2033"/>
      <c r="P52" s="2033"/>
      <c r="Q52" s="2033"/>
      <c r="R52" s="2033"/>
      <c r="S52" s="2033"/>
      <c r="T52" s="2033"/>
      <c r="U52" s="2033"/>
      <c r="V52" s="2033"/>
      <c r="W52" s="2033"/>
      <c r="AK52" s="1459"/>
      <c r="AL52" s="1459"/>
      <c r="AM52" s="1459"/>
      <c r="AN52" s="1459"/>
      <c r="AO52" s="1459"/>
      <c r="AR52" s="1459"/>
      <c r="AS52" s="1459"/>
      <c r="AT52" s="1459"/>
      <c r="AU52" s="1459"/>
      <c r="AV52" s="1460"/>
      <c r="AW52" s="1354" t="str">
        <f>IF(AX52=" "," ","a")</f>
        <v>a</v>
      </c>
      <c r="AX52" s="2035" t="str">
        <f>IF(AZ63=0," ",
(IF(AZ63&gt;5,ROUND(((AZ63)/(AZ66))*100,0)&amp;" % sont fonctionnaires*",IF(AZ63&lt;2,AZ63&amp;" travailleur handicapé fonctionnaire ",AZ63&amp;" travailleurs handicapés fonctionnaires "))))</f>
        <v>97 % sont fonctionnaires*</v>
      </c>
      <c r="AY52" s="2035"/>
      <c r="AZ52" s="2035"/>
      <c r="BA52" s="2035"/>
      <c r="BB52" s="1388"/>
      <c r="BC52" s="1383"/>
      <c r="BD52" s="2036" t="str">
        <f>IF('IND 4.1.4-4.1.7'!$F$9="(Vide)"," ",(IF('IND 4.1.4-4.1.7'!$F$9="Non","La collectivité ne dispose pas d'un document unique d'évaluation des risques professionnels",IF('IND 4.1.4-4.1.7'!$F$9="En cours","Le document unique d'évaluation des risques professionnels est en cours d'élaboration","La collectivité dispose d'un document unique d'évaluation des risques professionnels"))))</f>
        <v>La collectivité dispose d'un document unique d'évaluation des risques professionnels</v>
      </c>
      <c r="BE52" s="2036"/>
      <c r="BF52" s="2036"/>
      <c r="BG52" s="2036"/>
      <c r="BH52" s="2036"/>
      <c r="GJ52" s="1341">
        <v>11</v>
      </c>
      <c r="GK52" s="1341" t="s">
        <v>2770</v>
      </c>
      <c r="GL52" s="1341" t="s">
        <v>2771</v>
      </c>
      <c r="GO52" s="1360" t="s">
        <v>2772</v>
      </c>
      <c r="GP52" s="1329">
        <f>'IND 1.1.1'!I331</f>
        <v>0</v>
      </c>
      <c r="GQ52" s="1329">
        <f>'IND 1.2.1'!K80</f>
        <v>0</v>
      </c>
      <c r="GR52" s="1330">
        <f t="shared" si="0"/>
        <v>0</v>
      </c>
      <c r="GS52" s="1329">
        <f>RANK(GR52,$GR$1:$GR$58,0)+COUNTIF(GR$1:GR52,GR52)-1</f>
        <v>52</v>
      </c>
      <c r="GT52" s="1329">
        <f t="shared" si="1"/>
        <v>52</v>
      </c>
      <c r="GU52" s="1331">
        <f t="shared" si="2"/>
        <v>0</v>
      </c>
      <c r="GV52" s="1332" t="str">
        <f t="shared" si="3"/>
        <v>Lieutenants de sapeurs-pompiers professionnels</v>
      </c>
      <c r="GW52" s="1332" t="s">
        <v>447</v>
      </c>
      <c r="GX52" s="1333">
        <f t="shared" si="4"/>
        <v>0</v>
      </c>
      <c r="GY52" s="1333">
        <f t="shared" si="5"/>
        <v>0</v>
      </c>
      <c r="GZ52" s="1333">
        <f t="shared" si="5"/>
        <v>0</v>
      </c>
    </row>
    <row r="53" spans="1:208" ht="13.35" customHeight="1">
      <c r="H53" s="2031" t="str">
        <f>IF(OR(K53=0,K53=""),"",VLOOKUP(3,$GT$2:$GV$60,3,FALSE))</f>
        <v>ATSEM</v>
      </c>
      <c r="I53" s="2031"/>
      <c r="J53" s="2031"/>
      <c r="K53" s="1455">
        <f>IF(D69+D70=0,"",VLOOKUP(3,$GT$2:$GU$60,2,FALSE))</f>
        <v>8.5440278988666088E-2</v>
      </c>
      <c r="L53" s="1351"/>
      <c r="M53" s="2033"/>
      <c r="N53" s="2033"/>
      <c r="O53" s="2033"/>
      <c r="P53" s="2033"/>
      <c r="Q53" s="2033"/>
      <c r="R53" s="2033"/>
      <c r="S53" s="2033"/>
      <c r="T53" s="2033"/>
      <c r="U53" s="2033"/>
      <c r="V53" s="2033"/>
      <c r="W53" s="2033"/>
      <c r="X53" s="2037" t="str">
        <f>IF(Y53="","","Æ")</f>
        <v>Æ</v>
      </c>
      <c r="Y53" s="2006" t="str">
        <f>IF(SUM('IND 6.1.4'!$B$46:$C$56)=0,"",IF(Y56="","Motif de la sanction prononcée (fonctionnaires et contractuels en 2020)","Principaux motifs des sanctions prononcées (fonctionnaires et contractuels en 2020)"))</f>
        <v>Principaux motifs des sanctions prononcées (fonctionnaires et contractuels en 2020)</v>
      </c>
      <c r="Z53" s="2006"/>
      <c r="AA53" s="2006"/>
      <c r="AB53" s="2006"/>
      <c r="AC53" s="2006"/>
      <c r="AD53" s="2006"/>
      <c r="AE53" s="2006"/>
      <c r="AF53" s="2006"/>
      <c r="AG53" s="2006"/>
      <c r="AH53" s="2006"/>
      <c r="AJ53" s="2007" t="str">
        <f>IF($D$70=0," ",AL76)</f>
        <v>La collectivité est en auto-assurance sans convention de gestion avec Pôle Emploi pour l'assurance chômage de ses agents contractuels</v>
      </c>
      <c r="AK53" s="2007"/>
      <c r="AL53" s="2007"/>
      <c r="AM53" s="2007"/>
      <c r="AN53" s="2007"/>
      <c r="AO53" s="2007"/>
      <c r="AP53" s="2007"/>
      <c r="AQ53" s="1383" t="str">
        <f>IF(AR53=" "," ","&gt; ")</f>
        <v xml:space="preserve">&gt; </v>
      </c>
      <c r="AR53" s="2008" t="str">
        <f>IF($D$70=0," ",AL81)</f>
        <v>en 2020, 281 allocataires ont bénéficié de l'indemnisation du chômage (anciens contractuels)</v>
      </c>
      <c r="AS53" s="2008"/>
      <c r="AT53" s="2008"/>
      <c r="AU53" s="2008"/>
      <c r="AV53" s="2008"/>
      <c r="AW53" s="1354" t="str">
        <f>IF(AX53=" "," ","a")</f>
        <v>a</v>
      </c>
      <c r="AX53" s="2009" t="str">
        <f>IF((AY72)=0," ",
IF(AY71&gt;5,ROUND((AY71/(AY72))*100,0) &amp;" % sont en catégorie C*", IF(AY69&lt;2,AY69&amp; " travailleur handicapé en catégorie A, " &amp; AY70 &amp; " en catégorie B, " &amp; AY71 &amp;" en catégorie C", AY69 &amp; " travailleurs handicapés en catégorie A, " &amp; AY70 &amp; " en catégorie B, " &amp; AY71 &amp;" en catégorie C")))</f>
        <v>90 % sont en catégorie C*</v>
      </c>
      <c r="AY53" s="2009"/>
      <c r="AZ53" s="2009"/>
      <c r="BA53" s="2009"/>
      <c r="BB53" s="1461"/>
      <c r="BD53" s="2036"/>
      <c r="BE53" s="2036"/>
      <c r="BF53" s="2036"/>
      <c r="BG53" s="2036"/>
      <c r="BH53" s="2036"/>
      <c r="BI53" s="2010"/>
      <c r="BJ53" s="2043" t="str">
        <f>IF('IND 6.1.1-6.1.3'!B9=0, " ", "Commissions Consultatives Paritaires ")</f>
        <v xml:space="preserve">Commissions Consultatives Paritaires </v>
      </c>
      <c r="BK53" s="2043"/>
      <c r="BL53" s="2043"/>
      <c r="BM53" s="2043"/>
      <c r="BN53" s="2043"/>
      <c r="BO53" s="2043"/>
      <c r="BP53" s="2043"/>
      <c r="BQ53" s="2043"/>
      <c r="BR53" s="2043"/>
      <c r="BS53" s="2043"/>
      <c r="BU53" s="1462"/>
      <c r="GJ53" s="1341">
        <v>30</v>
      </c>
      <c r="GK53" s="1341" t="s">
        <v>2770</v>
      </c>
      <c r="GL53" s="1341" t="s">
        <v>2773</v>
      </c>
      <c r="GO53" s="1360" t="s">
        <v>1103</v>
      </c>
      <c r="GP53" s="1329">
        <f>'IND 1.1.1'!I337</f>
        <v>0</v>
      </c>
      <c r="GQ53" s="1329">
        <f>'IND 1.2.1'!K81</f>
        <v>0</v>
      </c>
      <c r="GR53" s="1330">
        <f t="shared" si="0"/>
        <v>0</v>
      </c>
      <c r="GS53" s="1329">
        <f>RANK(GR53,$GR$1:$GR$58,0)+COUNTIF(GR$1:GR53,GR53)-1</f>
        <v>53</v>
      </c>
      <c r="GT53" s="1329">
        <f t="shared" si="1"/>
        <v>53</v>
      </c>
      <c r="GU53" s="1331">
        <f t="shared" si="2"/>
        <v>0</v>
      </c>
      <c r="GV53" s="1332" t="str">
        <f t="shared" si="3"/>
        <v>CADRES DE SANTE DES SAPEURS POMPIERS PROFESSIONNELS</v>
      </c>
      <c r="GW53" s="1332" t="s">
        <v>1852</v>
      </c>
      <c r="GX53" s="1333">
        <f t="shared" si="4"/>
        <v>0</v>
      </c>
      <c r="GY53" s="1333">
        <f t="shared" si="5"/>
        <v>0</v>
      </c>
      <c r="GZ53" s="1333">
        <f t="shared" si="5"/>
        <v>0</v>
      </c>
    </row>
    <row r="54" spans="1:208" ht="13.35" customHeight="1">
      <c r="H54" s="2031" t="str">
        <f>IF(OR(K54=0,K54=""),"",VLOOKUP(4,$GT$2:$GV$60,3,FALSE))</f>
        <v>Agents de maîtrise</v>
      </c>
      <c r="I54" s="2031"/>
      <c r="J54" s="2031"/>
      <c r="K54" s="1455">
        <f>IF(D69+D70=0,"",VLOOKUP(4,$GT$2:$GU$60,2,FALSE))</f>
        <v>7.6896251089799472E-2</v>
      </c>
      <c r="L54" s="1351"/>
      <c r="M54" s="2033"/>
      <c r="N54" s="2033"/>
      <c r="O54" s="2033"/>
      <c r="P54" s="2033"/>
      <c r="Q54" s="2033"/>
      <c r="R54" s="2033"/>
      <c r="S54" s="2033"/>
      <c r="T54" s="2033"/>
      <c r="U54" s="2033"/>
      <c r="V54" s="2033"/>
      <c r="W54" s="2033"/>
      <c r="X54" s="2037"/>
      <c r="Y54" s="2006"/>
      <c r="Z54" s="2006"/>
      <c r="AA54" s="2006"/>
      <c r="AB54" s="2006"/>
      <c r="AC54" s="2006"/>
      <c r="AD54" s="2006"/>
      <c r="AE54" s="2006"/>
      <c r="AF54" s="2006"/>
      <c r="AG54" s="2006"/>
      <c r="AH54" s="2006"/>
      <c r="AI54" s="1334" t="str">
        <f>IF(AJ53=" "," ", "Æ")</f>
        <v>Æ</v>
      </c>
      <c r="AJ54" s="2007"/>
      <c r="AK54" s="2007"/>
      <c r="AL54" s="2007"/>
      <c r="AM54" s="2007"/>
      <c r="AN54" s="2007"/>
      <c r="AO54" s="2007"/>
      <c r="AP54" s="2007"/>
      <c r="AQ54" s="1353"/>
      <c r="AR54" s="2008"/>
      <c r="AS54" s="2008"/>
      <c r="AT54" s="2008"/>
      <c r="AU54" s="2008"/>
      <c r="AV54" s="2008"/>
      <c r="AW54" s="1354"/>
      <c r="AX54" s="2009"/>
      <c r="AY54" s="2009"/>
      <c r="AZ54" s="2009"/>
      <c r="BA54" s="2009"/>
      <c r="BB54" s="1461"/>
      <c r="BD54" s="2036"/>
      <c r="BE54" s="2036"/>
      <c r="BF54" s="2036"/>
      <c r="BG54" s="2036"/>
      <c r="BH54" s="2036"/>
      <c r="BI54" s="2010"/>
      <c r="BJ54" s="2043"/>
      <c r="BK54" s="2043"/>
      <c r="BL54" s="2043"/>
      <c r="BM54" s="2043"/>
      <c r="BN54" s="2043"/>
      <c r="BO54" s="2043"/>
      <c r="BP54" s="2043"/>
      <c r="BQ54" s="2043"/>
      <c r="BR54" s="2043"/>
      <c r="BS54" s="2043"/>
      <c r="BU54" s="1462"/>
      <c r="CQ54" s="1421"/>
      <c r="CR54" s="1421"/>
      <c r="GJ54" s="1341">
        <v>34</v>
      </c>
      <c r="GK54" s="1341" t="s">
        <v>2770</v>
      </c>
      <c r="GL54" s="1341" t="s">
        <v>2774</v>
      </c>
      <c r="GO54" s="1360" t="s">
        <v>2775</v>
      </c>
      <c r="GP54" s="1329">
        <f>'IND 1.1.1'!I343</f>
        <v>0</v>
      </c>
      <c r="GQ54" s="1329">
        <f>'IND 1.2.1'!K82</f>
        <v>0</v>
      </c>
      <c r="GR54" s="1330">
        <f t="shared" si="0"/>
        <v>0</v>
      </c>
      <c r="GS54" s="1329">
        <f>RANK(GR54,$GR$1:$GR$58,0)+COUNTIF(GR$1:GR54,GR54)-1</f>
        <v>54</v>
      </c>
      <c r="GT54" s="1329">
        <f t="shared" si="1"/>
        <v>54</v>
      </c>
      <c r="GU54" s="1331">
        <f t="shared" si="2"/>
        <v>0</v>
      </c>
      <c r="GV54" s="1332" t="str">
        <f t="shared" si="3"/>
        <v>Infirmiers de sapeurs-pompiers professionnels</v>
      </c>
      <c r="GW54" s="1332" t="s">
        <v>1852</v>
      </c>
      <c r="GX54" s="1333">
        <f t="shared" si="4"/>
        <v>0</v>
      </c>
      <c r="GY54" s="1333">
        <f t="shared" si="5"/>
        <v>0</v>
      </c>
      <c r="GZ54" s="1333">
        <f t="shared" si="5"/>
        <v>0</v>
      </c>
    </row>
    <row r="55" spans="1:208" ht="13.35" customHeight="1">
      <c r="H55" s="2031" t="str">
        <f>IF(OR(K55=0,K55=""),"",VLOOKUP(5,$GT$2:$GV$60,3,FALSE))</f>
        <v>Agents de police municipale</v>
      </c>
      <c r="I55" s="2031"/>
      <c r="J55" s="2031"/>
      <c r="K55" s="1455">
        <f>IF(D69+D70=0,"",VLOOKUP(5,$GT$2:$GU$60,2,FALSE))</f>
        <v>6.5387968613775063E-2</v>
      </c>
      <c r="L55" s="1351"/>
      <c r="M55" s="2033"/>
      <c r="N55" s="2033"/>
      <c r="O55" s="2033"/>
      <c r="P55" s="2033"/>
      <c r="Q55" s="2033"/>
      <c r="R55" s="2033"/>
      <c r="S55" s="2033"/>
      <c r="T55" s="2033"/>
      <c r="U55" s="2033"/>
      <c r="V55" s="2033"/>
      <c r="W55" s="2033"/>
      <c r="Y55" s="2028" t="str">
        <f>IF(ISNA(VLOOKUP(1,$BJ$115:$BM$125,2,FALSE))=TRUE,"",VLOOKUP(1,$BJ$115:$BM$125,2,FALSE))</f>
        <v>Qualité de service (manquement aux sujétions du service, négligence, désobéissance hiérarchique, absence irrégulière, abandon de poste)</v>
      </c>
      <c r="Z55" s="2028"/>
      <c r="AA55" s="2028"/>
      <c r="AB55" s="2028"/>
      <c r="AC55" s="2028"/>
      <c r="AD55" s="2028"/>
      <c r="AE55" s="2028"/>
      <c r="AF55" s="2028"/>
      <c r="AG55" s="2028"/>
      <c r="AH55" s="1463">
        <f>IF(ISNA(VLOOKUP(1,$BJ$115:$BM$125,4,FALSE))=TRUE,"",VLOOKUP(1,$BJ$115:$BM$125,4,FALSE))</f>
        <v>0.60606060606060608</v>
      </c>
      <c r="AJ55" s="2007"/>
      <c r="AK55" s="2007"/>
      <c r="AL55" s="2007"/>
      <c r="AM55" s="2007"/>
      <c r="AN55" s="2007"/>
      <c r="AO55" s="2007"/>
      <c r="AP55" s="2007"/>
      <c r="AR55" s="2008"/>
      <c r="AS55" s="2008"/>
      <c r="AT55" s="2008"/>
      <c r="AU55" s="2008"/>
      <c r="AV55" s="2008"/>
      <c r="AX55" s="2009"/>
      <c r="AY55" s="2009"/>
      <c r="AZ55" s="2009"/>
      <c r="BA55" s="2009"/>
      <c r="BB55" s="1461"/>
      <c r="BD55" s="2036"/>
      <c r="BE55" s="2036"/>
      <c r="BF55" s="2036"/>
      <c r="BG55" s="2036"/>
      <c r="BH55" s="2036"/>
      <c r="BJ55" s="2034" t="str">
        <f>IF('IND 6.1.1-6.1.3'!B9=0," ",IF('IND 6.1.1-6.1.3'!B9&lt;2,'IND 6.1.1-6.1.3'!B9&amp;" réunion en 2020 dans la collectivité",'IND 6.1.1-6.1.3'!B9&amp;" réunions en 2020 dans la collectivité"))</f>
        <v>2 réunions en 2020 dans la collectivité</v>
      </c>
      <c r="BK55" s="2034"/>
      <c r="BL55" s="2034"/>
      <c r="BM55" s="2034"/>
      <c r="BN55" s="2034"/>
      <c r="BO55" s="2034"/>
      <c r="BP55" s="2034"/>
      <c r="BQ55" s="2034"/>
      <c r="BR55" s="2034"/>
      <c r="BS55" s="2034"/>
      <c r="BU55" s="1462"/>
      <c r="GJ55" s="1341">
        <v>48</v>
      </c>
      <c r="GK55" s="1341" t="s">
        <v>2770</v>
      </c>
      <c r="GL55" s="1341" t="s">
        <v>2776</v>
      </c>
      <c r="GO55" s="1360" t="s">
        <v>2777</v>
      </c>
      <c r="GP55" s="1329">
        <f>'IND 1.1.1'!I348</f>
        <v>0</v>
      </c>
      <c r="GQ55" s="1329">
        <f>'IND 1.2.1'!K83</f>
        <v>0</v>
      </c>
      <c r="GR55" s="1330">
        <f t="shared" si="0"/>
        <v>0</v>
      </c>
      <c r="GS55" s="1329">
        <f>RANK(GR55,$GR$1:$GR$58,0)+COUNTIF(GR$1:GR55,GR55)-1</f>
        <v>55</v>
      </c>
      <c r="GT55" s="1329">
        <f t="shared" si="1"/>
        <v>55</v>
      </c>
      <c r="GU55" s="1331">
        <f t="shared" si="2"/>
        <v>0</v>
      </c>
      <c r="GV55" s="1332" t="str">
        <f t="shared" si="3"/>
        <v>Sous officiers de sapeurs-pompiers professionnels</v>
      </c>
      <c r="GW55" s="1332" t="s">
        <v>375</v>
      </c>
      <c r="GX55" s="1333">
        <f t="shared" si="4"/>
        <v>0</v>
      </c>
      <c r="GY55" s="1333">
        <f t="shared" si="5"/>
        <v>0</v>
      </c>
      <c r="GZ55" s="1333">
        <f t="shared" si="5"/>
        <v>0</v>
      </c>
    </row>
    <row r="56" spans="1:208" ht="13.35" customHeight="1">
      <c r="M56" s="2033"/>
      <c r="N56" s="2033"/>
      <c r="O56" s="2033"/>
      <c r="P56" s="2033"/>
      <c r="Q56" s="2033"/>
      <c r="R56" s="2033"/>
      <c r="S56" s="2033"/>
      <c r="T56" s="2033"/>
      <c r="U56" s="2033"/>
      <c r="V56" s="2033"/>
      <c r="W56" s="2033"/>
      <c r="Y56" s="2028" t="str">
        <f>IF(ISNA(VLOOKUP(2,$BJ$115:$BM$125,2,FALSE))=TRUE,"",VLOOKUP(2,$BJ$115:$BM$125,2,FALSE))</f>
        <v>Manquement à l'obligation de laïcité, atteinte au principe de neutralité, discrimination, manquement à l'obligation de réserve</v>
      </c>
      <c r="Z56" s="2028"/>
      <c r="AA56" s="2028"/>
      <c r="AB56" s="2028"/>
      <c r="AC56" s="2028"/>
      <c r="AD56" s="2028"/>
      <c r="AE56" s="2028"/>
      <c r="AF56" s="2028"/>
      <c r="AG56" s="2028"/>
      <c r="AH56" s="1463">
        <f>IF(ISNA(VLOOKUP(2,$BJ$115:$BM$125,4,FALSE))=TRUE,"",VLOOKUP(2,$BJ$115:$BM$125,4,FALSE))</f>
        <v>0.18181818181818182</v>
      </c>
      <c r="AW56" s="1354" t="str">
        <f>IF(AX56=" "," ","a")</f>
        <v>a</v>
      </c>
      <c r="AX56" s="2011" t="str">
        <f>IF(SUM('IND 1.6.2'!B12:B15)=0," ",TEXT(SUM('IND 1.6.2'!B12:B15),"# ##")&amp; "  € de dépenses réalisées couvrant partiellement l’obligation d’emploi ")</f>
        <v xml:space="preserve">87 923  € de dépenses réalisées couvrant partiellement l’obligation d’emploi </v>
      </c>
      <c r="AY56" s="2011"/>
      <c r="AZ56" s="2011"/>
      <c r="BA56" s="2011"/>
      <c r="BB56" s="1461"/>
      <c r="BD56" s="2025" t="str">
        <f>IF(BG56="","","Dernière mise à jour :")</f>
        <v>Dernière mise à jour :</v>
      </c>
      <c r="BE56" s="2025"/>
      <c r="BF56" s="2025"/>
      <c r="BG56" s="2026">
        <f>IF('IND 4.1.4-4.1.7'!$F$12=0,"",'IND 4.1.4-4.1.7'!$F$12)</f>
        <v>2020</v>
      </c>
      <c r="BH56" s="2025"/>
      <c r="BU56" s="1462"/>
      <c r="GJ56" s="1341">
        <v>66</v>
      </c>
      <c r="GK56" s="1341" t="s">
        <v>2770</v>
      </c>
      <c r="GL56" s="1341" t="s">
        <v>2778</v>
      </c>
      <c r="GO56" s="1360" t="s">
        <v>2779</v>
      </c>
      <c r="GP56" s="1329">
        <f>'IND 1.1.1'!I355</f>
        <v>0</v>
      </c>
      <c r="GQ56" s="1329">
        <f>'IND 1.2.1'!K84</f>
        <v>0</v>
      </c>
      <c r="GR56" s="1330">
        <f t="shared" si="0"/>
        <v>0</v>
      </c>
      <c r="GS56" s="1329">
        <f>RANK(GR56,$GR$1:$GR$58,0)+COUNTIF(GR$1:GR56,GR56)-1</f>
        <v>56</v>
      </c>
      <c r="GT56" s="1329">
        <f t="shared" si="1"/>
        <v>56</v>
      </c>
      <c r="GU56" s="1331">
        <f t="shared" si="2"/>
        <v>0</v>
      </c>
      <c r="GV56" s="1332" t="str">
        <f t="shared" si="3"/>
        <v>Sapeurs et caporaux de sapeurs-pompiers professionnels</v>
      </c>
      <c r="GW56" s="1332" t="s">
        <v>375</v>
      </c>
      <c r="GX56" s="1333">
        <f t="shared" si="4"/>
        <v>0</v>
      </c>
      <c r="GY56" s="1333">
        <f t="shared" si="5"/>
        <v>0</v>
      </c>
      <c r="GZ56" s="1333">
        <f t="shared" si="5"/>
        <v>0</v>
      </c>
    </row>
    <row r="57" spans="1:208" ht="13.35" customHeight="1">
      <c r="A57" s="2027" t="s">
        <v>2997</v>
      </c>
      <c r="B57" s="2027"/>
      <c r="C57" s="2027"/>
      <c r="D57" s="2027"/>
      <c r="E57" s="2027"/>
      <c r="F57" s="2027"/>
      <c r="G57" s="2027"/>
      <c r="H57" s="2027"/>
      <c r="I57" s="2027"/>
      <c r="J57" s="2027"/>
      <c r="K57" s="2027"/>
      <c r="M57" s="2033"/>
      <c r="N57" s="2033"/>
      <c r="O57" s="2033"/>
      <c r="P57" s="2033"/>
      <c r="Q57" s="2033"/>
      <c r="R57" s="2033"/>
      <c r="S57" s="2033"/>
      <c r="T57" s="2033"/>
      <c r="U57" s="2033"/>
      <c r="V57" s="2033"/>
      <c r="W57" s="2033"/>
      <c r="Y57" s="2028" t="str">
        <f>IF(ISNA(VLOOKUP(3,$BJ$115:$BM$125,2,FALSE))=TRUE,"",VLOOKUP(3,$BJ$115:$BM$125,2,FALSE))</f>
        <v>Probité, intégrité (détournement, conservation de fonds, malversation, vol, dégradation, dettes, chèque sans provision)</v>
      </c>
      <c r="Z57" s="2028"/>
      <c r="AA57" s="2028"/>
      <c r="AB57" s="2028"/>
      <c r="AC57" s="2028"/>
      <c r="AD57" s="2028"/>
      <c r="AE57" s="2028"/>
      <c r="AF57" s="2028"/>
      <c r="AG57" s="2028"/>
      <c r="AH57" s="1463">
        <f>IF(ISNA(VLOOKUP(3,$BJ$115:$BM$125,4,FALSE))=TRUE,"",VLOOKUP(3,$BJ$115:$BM$125,4,FALSE))</f>
        <v>9.0909090909090912E-2</v>
      </c>
      <c r="AJ57" s="2017" t="str">
        <f>IF($D$70=0," ",AL86)</f>
        <v>en 2020, 16 allocataires ont bénéficié de l'indemnisation du chômage (anciens fonctionnaires)</v>
      </c>
      <c r="AK57" s="2017"/>
      <c r="AL57" s="2017"/>
      <c r="AM57" s="2017"/>
      <c r="AN57" s="2017"/>
      <c r="AO57" s="2017"/>
      <c r="AP57" s="2017"/>
      <c r="AQ57" s="2017"/>
      <c r="AR57" s="2017"/>
      <c r="AS57" s="2017"/>
      <c r="AT57" s="2017"/>
      <c r="AU57" s="2017"/>
      <c r="AV57" s="2017"/>
      <c r="AX57" s="2011"/>
      <c r="AY57" s="2011"/>
      <c r="AZ57" s="2011"/>
      <c r="BA57" s="2011"/>
      <c r="BB57" s="1461"/>
      <c r="BD57" s="2025"/>
      <c r="BE57" s="2025"/>
      <c r="BF57" s="2025"/>
      <c r="BG57" s="2025"/>
      <c r="BH57" s="2025"/>
      <c r="BU57" s="1462"/>
      <c r="DD57" s="1319"/>
      <c r="DE57" s="1319"/>
      <c r="DF57" s="1319"/>
      <c r="DG57" s="1319"/>
      <c r="DH57" s="1319"/>
      <c r="DI57" s="1319"/>
      <c r="DJ57" s="1319"/>
      <c r="DK57" s="1319"/>
      <c r="DL57" s="1319"/>
      <c r="DM57" s="1319"/>
      <c r="DN57" s="1319"/>
      <c r="GJ57" s="1341">
        <v>19</v>
      </c>
      <c r="GK57" s="1341" t="s">
        <v>2780</v>
      </c>
      <c r="GL57" s="1341" t="s">
        <v>2781</v>
      </c>
      <c r="GO57" s="1464" t="s">
        <v>238</v>
      </c>
      <c r="GP57" s="1329">
        <f>'IND 1.1.1'!I365</f>
        <v>16</v>
      </c>
      <c r="GQ57" s="1329">
        <f>'IND 1.2.1'!K87</f>
        <v>9</v>
      </c>
      <c r="GR57" s="1330">
        <f t="shared" si="0"/>
        <v>25</v>
      </c>
      <c r="GS57" s="1329">
        <f>RANK(GR57,$GR$1:$GR$58,0)+COUNTIF(GR$1:GR57,GR57)-1</f>
        <v>20</v>
      </c>
      <c r="GT57" s="1329">
        <f t="shared" si="1"/>
        <v>20</v>
      </c>
      <c r="GU57" s="1331">
        <f t="shared" si="2"/>
        <v>4.3591979075850041E-3</v>
      </c>
      <c r="GV57" s="1332" t="str">
        <f t="shared" si="3"/>
        <v>Animateurs</v>
      </c>
      <c r="GW57" s="1332" t="s">
        <v>447</v>
      </c>
      <c r="GX57" s="1333">
        <f t="shared" si="4"/>
        <v>25</v>
      </c>
      <c r="GY57" s="1333">
        <f t="shared" si="5"/>
        <v>16</v>
      </c>
      <c r="GZ57" s="1333">
        <f t="shared" si="5"/>
        <v>9</v>
      </c>
    </row>
    <row r="58" spans="1:208" ht="13.35" customHeight="1">
      <c r="M58" s="1465"/>
      <c r="N58" s="1465"/>
      <c r="O58" s="1465"/>
      <c r="P58" s="1465"/>
      <c r="Q58" s="1465"/>
      <c r="X58" s="1439"/>
      <c r="Z58" s="1466"/>
      <c r="AA58" s="1466"/>
      <c r="AB58" s="1466"/>
      <c r="AC58" s="1466"/>
      <c r="AD58" s="1466"/>
      <c r="AE58" s="1466"/>
      <c r="AF58" s="1466"/>
      <c r="AG58" s="1466"/>
      <c r="AH58" s="1466"/>
      <c r="BU58" s="1462"/>
      <c r="BV58" s="1319"/>
      <c r="BW58" s="1319"/>
      <c r="GJ58" s="1341">
        <v>23</v>
      </c>
      <c r="GK58" s="1341" t="s">
        <v>2780</v>
      </c>
      <c r="GL58" s="1341" t="s">
        <v>2782</v>
      </c>
      <c r="GO58" s="1467" t="s">
        <v>239</v>
      </c>
      <c r="GP58" s="1329">
        <f>'IND 1.1.1'!I372</f>
        <v>114</v>
      </c>
      <c r="GQ58" s="1329">
        <f>'IND 1.2.1'!K88</f>
        <v>36</v>
      </c>
      <c r="GR58" s="1330">
        <f t="shared" si="0"/>
        <v>150</v>
      </c>
      <c r="GS58" s="1329">
        <f>RANK(GR58,$GR$1:$GR$58,0)+COUNTIF(GR$1:GR58,GR58)-1</f>
        <v>8</v>
      </c>
      <c r="GT58" s="1329">
        <f t="shared" si="1"/>
        <v>8</v>
      </c>
      <c r="GU58" s="1331">
        <f t="shared" si="2"/>
        <v>2.6155187445510025E-2</v>
      </c>
      <c r="GV58" s="1332" t="str">
        <f t="shared" si="3"/>
        <v>Adjoints d'animation</v>
      </c>
      <c r="GW58" s="1332" t="s">
        <v>375</v>
      </c>
      <c r="GX58" s="1333">
        <f t="shared" si="4"/>
        <v>150</v>
      </c>
      <c r="GY58" s="1333">
        <f t="shared" si="5"/>
        <v>114</v>
      </c>
      <c r="GZ58" s="1333">
        <f t="shared" si="5"/>
        <v>36</v>
      </c>
    </row>
    <row r="59" spans="1:208" ht="15" customHeight="1">
      <c r="Z59" s="1353"/>
      <c r="AA59" s="1353"/>
      <c r="AB59" s="1353"/>
      <c r="AC59" s="1353"/>
      <c r="AD59" s="1466"/>
      <c r="AE59" s="1466"/>
      <c r="AF59" s="1466"/>
      <c r="AG59" s="1466"/>
      <c r="AH59" s="1466"/>
      <c r="GJ59" s="1341">
        <v>87</v>
      </c>
      <c r="GK59" s="1341" t="s">
        <v>2780</v>
      </c>
      <c r="GL59" s="1341" t="s">
        <v>2783</v>
      </c>
      <c r="GO59" s="1468" t="s">
        <v>2784</v>
      </c>
      <c r="GP59" s="1469">
        <f>SUM(GP2:GP58)</f>
        <v>4836</v>
      </c>
      <c r="GQ59" s="1469">
        <f t="shared" ref="GQ59:GZ59" si="12">SUM(GQ2:GQ58)</f>
        <v>899</v>
      </c>
      <c r="GR59" s="1469">
        <f t="shared" si="12"/>
        <v>5735</v>
      </c>
      <c r="GS59" s="1469"/>
      <c r="GT59" s="1469"/>
      <c r="GU59" s="1469">
        <f t="shared" si="12"/>
        <v>0.99999999999999978</v>
      </c>
      <c r="GV59" s="1469">
        <f t="shared" si="12"/>
        <v>0</v>
      </c>
      <c r="GW59" s="1469">
        <f t="shared" si="12"/>
        <v>0</v>
      </c>
      <c r="GX59" s="1469">
        <f t="shared" si="12"/>
        <v>5735</v>
      </c>
      <c r="GY59" s="1469">
        <f t="shared" si="12"/>
        <v>4836</v>
      </c>
      <c r="GZ59" s="1469">
        <f t="shared" si="12"/>
        <v>899</v>
      </c>
    </row>
    <row r="60" spans="1:208" ht="15" customHeight="1">
      <c r="Z60" s="1353"/>
      <c r="AA60" s="1353"/>
      <c r="AB60" s="1353"/>
      <c r="AC60" s="1353"/>
      <c r="BA60" s="1470"/>
      <c r="BU60" s="1471"/>
      <c r="BV60" s="1472"/>
      <c r="BW60" s="1472"/>
      <c r="BX60" s="1472"/>
      <c r="BY60" s="1473"/>
      <c r="BZ60" s="1472"/>
      <c r="CA60" s="1472"/>
      <c r="CB60" s="1472"/>
      <c r="CC60" s="1472"/>
      <c r="CD60" s="1471"/>
      <c r="GJ60" s="1341">
        <v>54</v>
      </c>
      <c r="GK60" s="1341" t="s">
        <v>2785</v>
      </c>
      <c r="GL60" s="1341" t="s">
        <v>2786</v>
      </c>
      <c r="GO60" s="1474"/>
      <c r="GP60" s="1475"/>
      <c r="GQ60" s="1475"/>
      <c r="GR60" s="1476"/>
      <c r="GS60" s="1475"/>
      <c r="GT60" s="1475"/>
      <c r="GU60" s="1477"/>
      <c r="GV60" s="1478"/>
      <c r="GW60" s="1478"/>
      <c r="GX60" s="1479"/>
      <c r="GY60" s="1479"/>
      <c r="GZ60" s="1479"/>
    </row>
    <row r="61" spans="1:208">
      <c r="B61" s="2018"/>
      <c r="C61" s="2018"/>
      <c r="L61" s="1480"/>
      <c r="M61" s="1480"/>
      <c r="N61" s="1480"/>
      <c r="O61" s="1480"/>
      <c r="P61" s="1480"/>
      <c r="AE61" s="1372" t="s">
        <v>2787</v>
      </c>
      <c r="AF61" s="1319" t="str">
        <f>'IND 1.5.4-1.5.5'!B29</f>
        <v>Hommes</v>
      </c>
      <c r="AG61" s="1319" t="str">
        <f>'IND 1.5.4-1.5.5'!C29</f>
        <v>Femmes</v>
      </c>
      <c r="BK61" s="1481"/>
      <c r="BU61" s="1472"/>
      <c r="BV61" s="2019" t="s">
        <v>2788</v>
      </c>
      <c r="BW61" s="2020"/>
      <c r="BX61" s="2021"/>
      <c r="BY61" s="1472"/>
      <c r="BZ61" s="1472"/>
      <c r="CA61" s="1472"/>
      <c r="CB61" s="1472"/>
      <c r="CC61" s="1472"/>
      <c r="CD61" s="1472"/>
      <c r="GJ61" s="1341">
        <v>55</v>
      </c>
      <c r="GK61" s="1341" t="s">
        <v>2785</v>
      </c>
      <c r="GL61" s="1341" t="s">
        <v>2789</v>
      </c>
    </row>
    <row r="62" spans="1:208" ht="17.25" customHeight="1">
      <c r="G62" s="1482"/>
      <c r="H62" s="1482" t="s">
        <v>2790</v>
      </c>
      <c r="I62" s="1482" t="s">
        <v>2637</v>
      </c>
      <c r="J62" s="2022" t="s">
        <v>2791</v>
      </c>
      <c r="K62" s="2022"/>
      <c r="L62" s="1482"/>
      <c r="M62" s="1482" t="s">
        <v>2792</v>
      </c>
      <c r="N62" s="1482" t="s">
        <v>2249</v>
      </c>
      <c r="O62" s="1483" t="s">
        <v>2793</v>
      </c>
      <c r="P62" s="1483"/>
      <c r="S62" s="1482"/>
      <c r="T62" s="1482"/>
      <c r="U62" s="1483" t="s">
        <v>770</v>
      </c>
      <c r="V62" s="1482" t="s">
        <v>771</v>
      </c>
      <c r="AE62" s="1372" t="s">
        <v>2794</v>
      </c>
      <c r="AF62" s="1319">
        <f>'IND 1.5.4-1.5.5'!B30</f>
        <v>19</v>
      </c>
      <c r="AG62" s="1319">
        <f>'IND 1.5.4-1.5.5'!C30</f>
        <v>18</v>
      </c>
      <c r="AL62" s="2023" t="s">
        <v>2795</v>
      </c>
      <c r="AM62" s="2023"/>
      <c r="AN62" s="2023"/>
      <c r="AO62" s="2023"/>
      <c r="AP62" s="2023">
        <f xml:space="preserve"> IF($AL$6=0,0,(AP6/$AL$6)*100)</f>
        <v>57.177047913726277</v>
      </c>
      <c r="AX62" s="1484" t="s">
        <v>2796</v>
      </c>
      <c r="AY62" s="1484"/>
      <c r="AZ62" s="1484"/>
      <c r="BU62" s="1472"/>
      <c r="BV62" s="1485" t="s">
        <v>2797</v>
      </c>
      <c r="BW62" s="1486"/>
      <c r="BX62" s="1487" t="s">
        <v>2798</v>
      </c>
      <c r="BY62" s="1472"/>
      <c r="BZ62" s="1472"/>
      <c r="CA62" s="1472"/>
      <c r="CB62" s="1472"/>
      <c r="CC62" s="1472"/>
      <c r="GJ62" s="1341">
        <v>57</v>
      </c>
      <c r="GK62" s="1341" t="s">
        <v>2785</v>
      </c>
      <c r="GL62" s="1341" t="s">
        <v>2799</v>
      </c>
    </row>
    <row r="63" spans="1:208">
      <c r="A63" s="1488"/>
      <c r="B63" s="1482" t="s">
        <v>714</v>
      </c>
      <c r="C63" s="1482"/>
      <c r="D63" s="1489">
        <f>SUMIF(GW2:GW58,"A",GX2:GX58)/GX59</f>
        <v>8.5614646904969491E-2</v>
      </c>
      <c r="E63" s="1488"/>
      <c r="F63" s="1488"/>
      <c r="G63" s="1482"/>
      <c r="H63" s="1482" t="s">
        <v>707</v>
      </c>
      <c r="I63" s="1482" t="s">
        <v>708</v>
      </c>
      <c r="J63" s="1482" t="s">
        <v>707</v>
      </c>
      <c r="K63" s="1482" t="s">
        <v>708</v>
      </c>
      <c r="L63" s="2022" t="s">
        <v>1249</v>
      </c>
      <c r="M63" s="1482" t="s">
        <v>2800</v>
      </c>
      <c r="N63" s="1490">
        <f>-SUM('IND 1.7.1'!$C$13:$D$14)/('IND 1.7.1'!$D$47+'IND 1.7.1'!$C$47)</f>
        <v>-2.3365300784655624E-2</v>
      </c>
      <c r="O63" s="1490">
        <f>SUM('IND 1.7.1'!C25:D26)/('IND 1.7.1'!$D$47+'IND 1.7.1'!$C$47)</f>
        <v>5.0566695727986048E-2</v>
      </c>
      <c r="P63" s="1490"/>
      <c r="Q63" s="1491"/>
      <c r="S63" s="1482" t="str">
        <f>IF(D70=0," ","Contractuels")</f>
        <v>Contractuels</v>
      </c>
      <c r="T63" s="1490"/>
      <c r="U63" s="1490">
        <f>'IND 1.2.1'!L91/$D$70</f>
        <v>0.70189098998887656</v>
      </c>
      <c r="V63" s="1490">
        <f>'IND 1.2.1'!M91/$D$70</f>
        <v>0.29810901001112344</v>
      </c>
      <c r="W63" s="1488"/>
      <c r="AE63" s="1372" t="s">
        <v>2808</v>
      </c>
      <c r="AF63" s="1319">
        <f>'IND 1.5.4-1.5.5'!B31</f>
        <v>0</v>
      </c>
      <c r="AG63" s="1319">
        <f>'IND 1.5.4-1.5.5'!C31</f>
        <v>1</v>
      </c>
      <c r="AL63" s="2023"/>
      <c r="AM63" s="2023"/>
      <c r="AN63" s="2023"/>
      <c r="AO63" s="2023"/>
      <c r="AP63" s="2024"/>
      <c r="AX63" s="1484" t="s">
        <v>1513</v>
      </c>
      <c r="AY63" s="1484"/>
      <c r="AZ63" s="1484">
        <f>SUM('IND 1.6.1'!B17:C19)</f>
        <v>439</v>
      </c>
      <c r="BI63" s="1488"/>
      <c r="BU63" s="1472"/>
      <c r="BV63" s="1492">
        <f>IF(SUM('IND 7.1.4'!$B$23:$B$26)&gt;0,2,IF('IND 7.1.4'!$B$11="(vide)",0,IF('IND 7.1.4'!$B$11="Ne sait pas",0,IF('IND 7.1.4'!$B$11="Oui",2,IF('IND 7.1.4'!$B$11="Non",1)))))</f>
        <v>2</v>
      </c>
      <c r="BW63" s="1493"/>
      <c r="BX63" s="1494">
        <f>IF(SUM('IND 7.1.4'!$C$23:$C$26)&gt;0,2,IF('IND 7.1.4'!$C$11="(vide)",0,IF('IND 7.1.4'!$C$11="Ne sait pas",0,IF('IND 7.1.4'!$C$11="Oui",2,IF('IND 7.1.4'!$C$11="Non",1)))))</f>
        <v>2</v>
      </c>
      <c r="BY63" s="1472"/>
      <c r="BZ63" s="1472"/>
      <c r="CA63" s="1472"/>
      <c r="CB63" s="1472"/>
      <c r="CC63" s="1472"/>
      <c r="CD63" s="1472"/>
      <c r="GJ63" s="1341">
        <v>88</v>
      </c>
      <c r="GK63" s="1341" t="s">
        <v>2785</v>
      </c>
      <c r="GL63" s="1341" t="s">
        <v>2802</v>
      </c>
    </row>
    <row r="64" spans="1:208">
      <c r="A64" s="1488"/>
      <c r="B64" s="1482" t="s">
        <v>715</v>
      </c>
      <c r="C64" s="1482"/>
      <c r="D64" s="1489">
        <f>SUMIF(GW2:GW58,"B",GX2:GX58)/GX59</f>
        <v>9.2938099389712286E-2</v>
      </c>
      <c r="E64" s="1488"/>
      <c r="F64" s="1488"/>
      <c r="G64" s="1482" t="s">
        <v>2005</v>
      </c>
      <c r="H64" s="1495">
        <f>(('IND 1.1.1'!G376+'IND 1.2.1'!Q91+'IND 1.2.1'!S91)/($D$69+$D$70))</f>
        <v>0.31351351351351353</v>
      </c>
      <c r="I64" s="1495">
        <f>(('IND 1.1.1'!H376+'IND 1.2.1'!R91+'IND 1.2.1'!T91)/($D$69+$D$70))</f>
        <v>0.68648648648648647</v>
      </c>
      <c r="J64" s="1496">
        <f>('IND 1.1.1'!G376+'IND 1.2.1'!Q91+'IND 1.2.1'!S91)</f>
        <v>1798</v>
      </c>
      <c r="K64" s="1496">
        <f>('IND 1.1.1'!H376+'IND 1.2.1'!R91+'IND 1.2.1'!T91)</f>
        <v>3937</v>
      </c>
      <c r="L64" s="2022"/>
      <c r="M64" s="1482" t="s">
        <v>2803</v>
      </c>
      <c r="N64" s="1490">
        <f>-SUM('IND 1.7.1'!C15:D18)/('IND 1.7.1'!$D$47+'IND 1.7.1'!$C$47)</f>
        <v>-0.14856146469049694</v>
      </c>
      <c r="O64" s="1490">
        <f>SUM('IND 1.7.1'!C27:D30)/('IND 1.7.1'!$D$47+'IND 1.7.1'!$C$47)</f>
        <v>0.31299040976460329</v>
      </c>
      <c r="P64" s="1490"/>
      <c r="S64" s="1482" t="str">
        <f>IF(D69=0," ","Fonctionnaires")</f>
        <v>Fonctionnaires</v>
      </c>
      <c r="T64" s="1490"/>
      <c r="U64" s="1490">
        <f>'IND 1.1.1'!$B$376/synthese!$D$69</f>
        <v>0.88606286186931349</v>
      </c>
      <c r="V64" s="1490">
        <f>'IND 1.1.1'!$F$376/synthese!$D$69</f>
        <v>0.11393713813068652</v>
      </c>
      <c r="W64" s="1488"/>
      <c r="AE64" s="1372" t="s">
        <v>2801</v>
      </c>
      <c r="AF64" s="1319">
        <f>'IND 1.5.4-1.5.5'!B32</f>
        <v>6</v>
      </c>
      <c r="AG64" s="1319">
        <f>'IND 1.5.4-1.5.5'!C32</f>
        <v>3</v>
      </c>
      <c r="AX64" s="1484" t="s">
        <v>2804</v>
      </c>
      <c r="AY64" s="1484"/>
      <c r="AZ64" s="1484">
        <f>SUM('IND 1.6.1'!D17:E19)</f>
        <v>13</v>
      </c>
      <c r="BI64" s="1488"/>
      <c r="BV64" s="1497">
        <f>IF(SUM('IND 7.1.4'!$B$23:$B$26)&gt;0,2,IF('IND 7.1.4'!$B$12="(vide)",0,IF('IND 7.1.4'!$B$12="Ne sait pas",0,IF('IND 7.1.4'!$B$12="Oui",2,IF('IND 7.1.4'!$B$12="Non",1)))))</f>
        <v>2</v>
      </c>
      <c r="BW64" s="1498"/>
      <c r="BX64" s="1499">
        <f>IF(SUM('IND 7.1.4'!$C$23:$C$26)&gt;0,2,IF('IND 7.1.4'!$C$12="(vide)",0,IF('IND 7.1.4'!$C$12="Ne sait pas",0,IF('IND 7.1.4'!$C$12="Oui",2,IF('IND 7.1.4'!$C$12="Non",1)))))</f>
        <v>2</v>
      </c>
      <c r="GJ64" s="1341">
        <v>9</v>
      </c>
      <c r="GK64" s="1341" t="s">
        <v>2805</v>
      </c>
      <c r="GL64" s="1341" t="s">
        <v>2806</v>
      </c>
    </row>
    <row r="65" spans="1:194">
      <c r="A65" s="1488"/>
      <c r="B65" s="1482" t="s">
        <v>670</v>
      </c>
      <c r="C65" s="1482"/>
      <c r="D65" s="1489">
        <f>SUMIF(GW2:GW58,"C",GX2:GX58)/GX59</f>
        <v>0.82144725370531824</v>
      </c>
      <c r="E65" s="1488"/>
      <c r="F65" s="1488"/>
      <c r="G65" s="1482" t="s">
        <v>2251</v>
      </c>
      <c r="H65" s="1495">
        <f>('IND 1.2.1'!Q91+'IND 1.2.1'!S91)/$D$70</f>
        <v>0.24471635150166851</v>
      </c>
      <c r="I65" s="1495">
        <f>('IND 1.2.1'!R91+'IND 1.2.1'!T91)/$D$70</f>
        <v>0.75528364849833152</v>
      </c>
      <c r="J65" s="1496">
        <f>('IND 1.2.1'!Q91+'IND 1.2.1'!S91)</f>
        <v>220</v>
      </c>
      <c r="K65" s="1496">
        <f>('IND 1.2.1'!R91+'IND 1.2.1'!T91)</f>
        <v>679</v>
      </c>
      <c r="L65" s="2022"/>
      <c r="M65" s="1482" t="s">
        <v>2807</v>
      </c>
      <c r="N65" s="1490">
        <f>-SUM('IND 1.7.1'!C19:D22)/('IND 1.7.1'!$D$47+'IND 1.7.1'!$C$47)</f>
        <v>-0.14158674803836094</v>
      </c>
      <c r="O65" s="1490">
        <f>SUM('IND 1.7.1'!C31:D34)/('IND 1.7.1'!$D$47+'IND 1.7.1'!$C$47)</f>
        <v>0.32292938099389712</v>
      </c>
      <c r="P65" s="1490"/>
      <c r="W65" s="1488"/>
      <c r="AE65" s="1372" t="s">
        <v>2808</v>
      </c>
      <c r="AF65" s="1319">
        <f>'IND 1.5.4-1.5.5'!B33</f>
        <v>0</v>
      </c>
      <c r="AG65" s="1319">
        <f>'IND 1.5.4-1.5.5'!C33</f>
        <v>0</v>
      </c>
      <c r="AL65" s="1500"/>
      <c r="AM65" s="1500"/>
      <c r="AN65" s="2016" t="s">
        <v>2809</v>
      </c>
      <c r="AO65" s="2016"/>
      <c r="AP65" s="2016"/>
      <c r="AQ65" s="2016"/>
      <c r="AR65" s="2016"/>
      <c r="AS65" s="2016"/>
      <c r="AT65" s="2016"/>
      <c r="AU65" s="1501"/>
      <c r="AX65" s="1484" t="s">
        <v>2810</v>
      </c>
      <c r="AY65" s="1484"/>
      <c r="AZ65" s="1484">
        <f>SUM('IND 1.6.1'!B27:C27)</f>
        <v>4</v>
      </c>
      <c r="BI65" s="1488"/>
      <c r="GJ65" s="1341">
        <v>12</v>
      </c>
      <c r="GK65" s="1341" t="s">
        <v>2805</v>
      </c>
      <c r="GL65" s="1341" t="s">
        <v>2811</v>
      </c>
    </row>
    <row r="66" spans="1:194" ht="15" customHeight="1">
      <c r="A66" s="1488"/>
      <c r="B66" s="1488"/>
      <c r="C66" s="1488"/>
      <c r="D66" s="1488"/>
      <c r="E66" s="1488"/>
      <c r="F66" s="1488"/>
      <c r="G66" s="1482" t="s">
        <v>1513</v>
      </c>
      <c r="H66" s="1495">
        <f>'IND 1.1.1'!$G$376/$D$69</f>
        <v>0.32630272952853601</v>
      </c>
      <c r="I66" s="1495">
        <f>'IND 1.1.1'!$H$376/$D$69</f>
        <v>0.67369727047146399</v>
      </c>
      <c r="J66" s="1496">
        <f>'IND 1.1.1'!$G$376</f>
        <v>1578</v>
      </c>
      <c r="K66" s="1502">
        <f>'IND 1.1.1'!$H$376</f>
        <v>3258</v>
      </c>
      <c r="L66" s="1480"/>
      <c r="M66" s="1480"/>
      <c r="N66" s="1491"/>
      <c r="O66" s="1480"/>
      <c r="P66" s="1480"/>
      <c r="S66" s="1482"/>
      <c r="T66" s="1482"/>
      <c r="U66" s="1483" t="s">
        <v>2812</v>
      </c>
      <c r="V66" s="1482" t="s">
        <v>2813</v>
      </c>
      <c r="W66" s="1488"/>
      <c r="AE66" s="1372" t="s">
        <v>2814</v>
      </c>
      <c r="AF66" s="1319">
        <f>'IND 1.5.4-1.5.5'!B34</f>
        <v>3</v>
      </c>
      <c r="AG66" s="1319">
        <f>'IND 1.5.4-1.5.5'!C34</f>
        <v>13</v>
      </c>
      <c r="AL66" s="1500"/>
      <c r="AM66" s="1500"/>
      <c r="AN66" s="2016"/>
      <c r="AO66" s="2016"/>
      <c r="AP66" s="2016"/>
      <c r="AQ66" s="2016"/>
      <c r="AR66" s="2016"/>
      <c r="AS66" s="2016"/>
      <c r="AT66" s="2016"/>
      <c r="AU66" s="1501"/>
      <c r="AX66" s="1484"/>
      <c r="AY66" s="1484" t="s">
        <v>768</v>
      </c>
      <c r="AZ66" s="1484">
        <f>SUM(AZ63:AZ64)</f>
        <v>452</v>
      </c>
      <c r="BI66" s="1488"/>
      <c r="GJ66" s="1341">
        <v>31</v>
      </c>
      <c r="GK66" s="1341" t="s">
        <v>2805</v>
      </c>
      <c r="GL66" s="1341" t="s">
        <v>2815</v>
      </c>
    </row>
    <row r="67" spans="1:194">
      <c r="G67" s="1482"/>
      <c r="H67" s="1482"/>
      <c r="I67" s="1482"/>
      <c r="J67" s="1503"/>
      <c r="K67" s="1503"/>
      <c r="L67" s="2012"/>
      <c r="M67" s="2013" t="s">
        <v>2816</v>
      </c>
      <c r="N67" s="2013"/>
      <c r="O67" s="2013"/>
      <c r="P67" s="1504"/>
      <c r="Q67" s="1505">
        <f>'IND 1.5.0'!F40+'IND 1.5.0'!J40</f>
        <v>4</v>
      </c>
      <c r="S67" s="1482" t="str">
        <f>IF(D70=0," ","Contractuels")</f>
        <v>Contractuels</v>
      </c>
      <c r="T67" s="1490"/>
      <c r="U67" s="1489">
        <f>SUM('IND 1.2.2'!B91:C91)/SUM('IND 1.2.2'!J91:K91)</f>
        <v>0.89857369255150554</v>
      </c>
      <c r="V67" s="1489">
        <f>SUM('IND 1.2.2'!D91:I91)/SUM('IND 1.2.2'!J91:K91)</f>
        <v>0.10142630744849446</v>
      </c>
      <c r="W67" s="1488"/>
      <c r="AE67" s="1372" t="s">
        <v>2823</v>
      </c>
      <c r="AF67" s="1319">
        <f>'IND 1.5.4-1.5.5'!B35</f>
        <v>0</v>
      </c>
      <c r="AG67" s="1319">
        <f>'IND 1.5.4-1.5.5'!C35</f>
        <v>0</v>
      </c>
      <c r="AL67" s="1500"/>
      <c r="AM67" s="1500"/>
      <c r="AN67" s="2014" t="s">
        <v>2817</v>
      </c>
      <c r="AO67" s="2014"/>
      <c r="AP67" s="2014" t="s">
        <v>2818</v>
      </c>
      <c r="AQ67" s="2014"/>
      <c r="AR67" s="2014"/>
      <c r="AS67" s="2015" t="s">
        <v>2637</v>
      </c>
      <c r="AT67" s="2016"/>
      <c r="AU67" s="2016"/>
      <c r="AX67" s="1327"/>
      <c r="BG67" s="1506"/>
      <c r="BI67" s="1488"/>
      <c r="BV67" s="1507" t="s">
        <v>2819</v>
      </c>
      <c r="BW67" s="1508"/>
      <c r="BX67" s="1509"/>
      <c r="GJ67" s="1341">
        <v>32</v>
      </c>
      <c r="GK67" s="1341" t="s">
        <v>2805</v>
      </c>
      <c r="GL67" s="1341" t="s">
        <v>2820</v>
      </c>
    </row>
    <row r="68" spans="1:194" ht="45">
      <c r="B68" s="1483" t="s">
        <v>2821</v>
      </c>
      <c r="C68" s="1483"/>
      <c r="D68" s="1483"/>
      <c r="G68" s="1488"/>
      <c r="H68" s="1488"/>
      <c r="I68" s="1488"/>
      <c r="J68" s="1488"/>
      <c r="K68" s="1488"/>
      <c r="L68" s="2012"/>
      <c r="M68" s="2013" t="s">
        <v>2822</v>
      </c>
      <c r="N68" s="2013"/>
      <c r="O68" s="2013"/>
      <c r="P68" s="1504"/>
      <c r="Q68" s="1505">
        <f>'IND 1.5.0'!F63+'IND 1.5.0'!J63</f>
        <v>194</v>
      </c>
      <c r="S68" s="1482" t="str">
        <f>IF(D69=0," ","Fonctionnaires")</f>
        <v>Fonctionnaires</v>
      </c>
      <c r="T68" s="1490"/>
      <c r="U68" s="1489">
        <f>SUM('IND 1.1.2'!B90:C90)/SUM('IND 1.1.2'!J90:K90)</f>
        <v>0.9064177362893816</v>
      </c>
      <c r="V68" s="1489">
        <f>SUM('IND 1.1.2'!D90:I90)/SUM('IND 1.1.2'!J90:K90)</f>
        <v>9.3582263710618438E-2</v>
      </c>
      <c r="W68" s="1488"/>
      <c r="AL68" s="1500"/>
      <c r="AM68" s="1500"/>
      <c r="AN68" s="1510" t="s">
        <v>1513</v>
      </c>
      <c r="AO68" s="1510" t="s">
        <v>2251</v>
      </c>
      <c r="AP68" s="2014" t="s">
        <v>1513</v>
      </c>
      <c r="AQ68" s="2014"/>
      <c r="AR68" s="1510" t="s">
        <v>2251</v>
      </c>
      <c r="AS68" s="1510" t="s">
        <v>1513</v>
      </c>
      <c r="AT68" s="1510" t="s">
        <v>2251</v>
      </c>
      <c r="AU68" s="1510" t="s">
        <v>2005</v>
      </c>
      <c r="AW68" s="1511"/>
      <c r="AX68" s="1512" t="s">
        <v>2824</v>
      </c>
      <c r="AY68" s="1512"/>
      <c r="BG68" s="1506"/>
      <c r="BI68" s="1488"/>
      <c r="BV68" s="1513" t="s">
        <v>2825</v>
      </c>
      <c r="BW68" s="1514">
        <f>IF(OR(BX68="Non",BX68="(vide)",BX68="Ne sait pas"),0,1)</f>
        <v>1</v>
      </c>
      <c r="BX68" s="1515" t="str">
        <f>'IND 7.1.1-7.1.3'!$B$11</f>
        <v>Oui</v>
      </c>
      <c r="BZ68" s="1506"/>
      <c r="GJ68" s="1341">
        <v>46</v>
      </c>
      <c r="GK68" s="1341" t="s">
        <v>2805</v>
      </c>
      <c r="GL68" s="1341" t="s">
        <v>2826</v>
      </c>
    </row>
    <row r="69" spans="1:194" ht="14.25" customHeight="1">
      <c r="B69" s="1483" t="s">
        <v>2827</v>
      </c>
      <c r="C69" s="1483"/>
      <c r="D69" s="1516">
        <f>'IND 1.1.1'!$I$376</f>
        <v>4836</v>
      </c>
      <c r="G69" s="1488"/>
      <c r="H69" s="1482" t="s">
        <v>2828</v>
      </c>
      <c r="I69" s="1517">
        <f>'IND 1.3.1'!F26</f>
        <v>0</v>
      </c>
      <c r="J69" s="1488"/>
      <c r="K69" s="1488"/>
      <c r="L69" s="2012"/>
      <c r="W69" s="1488"/>
      <c r="AE69" s="1372"/>
      <c r="AL69" s="1996" t="s">
        <v>714</v>
      </c>
      <c r="AM69" s="1997"/>
      <c r="AN69" s="1518">
        <f>'IND 3.1.1-3.4.3'!D20+'IND 3.1.1-3.4.3'!E20+'IND 3.1.1-3.4.3'!D24+'IND 3.1.1-3.4.3'!E24+'IND 3.1.1-3.4.3'!D28+'IND 3.1.1-3.4.3'!E28+'IND 3.1.1-3.4.3'!D32+'IND 3.1.1-3.4.3'!E32+'IND 3.1.1-3.4.3'!D36+'IND 3.1.1-3.4.3'!E36+'IND 3.1.1-3.4.3'!D40+'IND 3.1.1-3.4.3'!E40+'IND 3.1.1-3.4.3'!D44+'IND 3.1.1-3.4.3'!E44+'IND 3.1.1-3.4.3'!D48+'IND 3.1.1-3.4.3'!E48+'IND 3.1.1-3.4.3'!D52+'IND 3.1.1-3.4.3'!E52</f>
        <v>4089141</v>
      </c>
      <c r="AO69" s="1518">
        <f>'IND 3.1.1-3.4.3'!D68+'IND 3.1.1-3.4.3'!E68+'IND 3.1.1-3.4.3'!D72+'IND 3.1.1-3.4.3'!E72+'IND 3.1.1-3.4.3'!D76+'IND 3.1.1-3.4.3'!E76+'IND 3.1.1-3.4.3'!D80+'IND 3.1.1-3.4.3'!E80+'IND 3.1.1-3.4.3'!D84+'IND 3.1.1-3.4.3'!E84+'IND 3.1.1-3.4.3'!D88+'IND 3.1.1-3.4.3'!E88+'IND 3.1.1-3.4.3'!D92+'IND 3.1.1-3.4.3'!E92+'IND 3.1.1-3.4.3'!D96+'IND 3.1.1-3.4.3'!E96+'IND 3.1.1-3.4.3'!D100+'IND 3.1.1-3.4.3'!E100</f>
        <v>1519318</v>
      </c>
      <c r="AP69" s="1998">
        <f>'IND 3.1.1-3.4.3'!B20+'IND 3.1.1-3.4.3'!C20+'IND 3.1.1-3.4.3'!B24+'IND 3.1.1-3.4.3'!C24+'IND 3.1.1-3.4.3'!B28+'IND 3.1.1-3.4.3'!C28+'IND 3.1.1-3.4.3'!B32+'IND 3.1.1-3.4.3'!C32+'IND 3.1.1-3.4.3'!B36+'IND 3.1.1-3.4.3'!C36+'IND 3.1.1-3.4.3'!B40+'IND 3.1.1-3.4.3'!C40+'IND 3.1.1-3.4.3'!B44+'IND 3.1.1-3.4.3'!C44+'IND 3.1.1-3.4.3'!B48+'IND 3.1.1-3.4.3'!C48+'IND 3.1.1-3.4.3'!B52+'IND 3.1.1-3.4.3'!C52</f>
        <v>18326001</v>
      </c>
      <c r="AQ69" s="1999"/>
      <c r="AR69" s="1518">
        <f>'IND 3.1.1-3.4.3'!B68+'IND 3.1.1-3.4.3'!C68+'IND 3.1.1-3.4.3'!B72+'IND 3.1.1-3.4.3'!C72+'IND 3.1.1-3.4.3'!B76+'IND 3.1.1-3.4.3'!C76+'IND 3.1.1-3.4.3'!B80+'IND 3.1.1-3.4.3'!C80+'IND 3.1.1-3.4.3'!B84+'IND 3.1.1-3.4.3'!C84+'IND 3.1.1-3.4.3'!B88+'IND 3.1.1-3.4.3'!C88+'IND 3.1.1-3.4.3'!B92+'IND 3.1.1-3.4.3'!C92+'IND 3.1.1-3.4.3'!B96+'IND 3.1.1-3.4.3'!C96+'IND 3.1.1-3.4.3'!B100+'IND 3.1.1-3.4.3'!C100</f>
        <v>4817205</v>
      </c>
      <c r="AS69" s="1519">
        <f>IF(AP69=0,"",AN69/AP69)</f>
        <v>0.22313329569282464</v>
      </c>
      <c r="AT69" s="1519">
        <f>IF(AR69=0,"",AO69/AR69)</f>
        <v>0.31539409263255352</v>
      </c>
      <c r="AU69" s="1519">
        <f>IF((AP69+AR69)=0,"",(AN69+AO69)/(AP69+AR69))</f>
        <v>0.2423371679792333</v>
      </c>
      <c r="AX69" s="1512" t="s">
        <v>714</v>
      </c>
      <c r="AY69" s="1512">
        <f>SUM('IND 1.6.1'!B17:E17)</f>
        <v>14</v>
      </c>
      <c r="BI69" s="1488"/>
      <c r="BV69" s="1513" t="s">
        <v>2829</v>
      </c>
      <c r="BW69" s="1514">
        <f>IF(OR(BX69="Non",BX69="(vide)",BX69="Ne sait pas"),0,1)</f>
        <v>0</v>
      </c>
      <c r="BX69" s="1515" t="str">
        <f>'IND 7.1.1-7.1.3'!$B$12</f>
        <v>Non</v>
      </c>
      <c r="BZ69" s="1506"/>
      <c r="GJ69" s="1341">
        <v>65</v>
      </c>
      <c r="GK69" s="1341" t="s">
        <v>2805</v>
      </c>
      <c r="GL69" s="1341" t="s">
        <v>2830</v>
      </c>
    </row>
    <row r="70" spans="1:194" ht="14.25" customHeight="1">
      <c r="B70" s="1483" t="s">
        <v>2831</v>
      </c>
      <c r="C70" s="1483"/>
      <c r="D70" s="1520">
        <f>'IND 1.2.1'!K91</f>
        <v>899</v>
      </c>
      <c r="G70" s="1521"/>
      <c r="H70" s="1522" t="s">
        <v>621</v>
      </c>
      <c r="I70" s="1517">
        <f>'IND 1.2.1'!Q91+'IND 1.2.1'!R91</f>
        <v>143</v>
      </c>
      <c r="J70" s="1521"/>
      <c r="K70" s="1521"/>
      <c r="M70" s="1523" t="s">
        <v>2832</v>
      </c>
      <c r="N70" s="1523"/>
      <c r="O70" s="1523"/>
      <c r="P70" s="1523"/>
      <c r="Q70" s="1523"/>
      <c r="R70" s="1523"/>
      <c r="Y70" s="1993"/>
      <c r="Z70" s="1994"/>
      <c r="AA70" s="1524" t="s">
        <v>2833</v>
      </c>
      <c r="AB70" s="1524" t="s">
        <v>2834</v>
      </c>
      <c r="AL70" s="1996" t="s">
        <v>715</v>
      </c>
      <c r="AM70" s="1997"/>
      <c r="AN70" s="1518">
        <f>'IND 3.1.1-3.4.3'!D21+'IND 3.1.1-3.4.3'!E21+'IND 3.1.1-3.4.3'!D25+'IND 3.1.1-3.4.3'!E25+'IND 3.1.1-3.4.3'!D29+'IND 3.1.1-3.4.3'!E29+'IND 3.1.1-3.4.3'!D33+'IND 3.1.1-3.4.3'!E33+'IND 3.1.1-3.4.3'!D37+'IND 3.1.1-3.4.3'!E37+'IND 3.1.1-3.4.3'!D41+'IND 3.1.1-3.4.3'!E41+'IND 3.1.1-3.4.3'!D45+'IND 3.1.1-3.4.3'!E45+'IND 3.1.1-3.4.3'!D49+'IND 3.1.1-3.4.3'!E49+'IND 3.1.1-3.4.3'!D53+'IND 3.1.1-3.4.3'!E53+'IND 3.1.1-3.4.3'!D56+'IND 3.1.1-3.4.3'!E56</f>
        <v>2987372</v>
      </c>
      <c r="AO70" s="1518">
        <f>'IND 3.1.1-3.4.3'!D69+'IND 3.1.1-3.4.3'!E69+'IND 3.1.1-3.4.3'!D73+'IND 3.1.1-3.4.3'!E73+'IND 3.1.1-3.4.3'!D77+'IND 3.1.1-3.4.3'!E77+'IND 3.1.1-3.4.3'!D81+'IND 3.1.1-3.4.3'!E81+'IND 3.1.1-3.4.3'!D85+'IND 3.1.1-3.4.3'!E85+'IND 3.1.1-3.4.3'!D89+'IND 3.1.1-3.4.3'!E89+'IND 3.1.1-3.4.3'!D93+'IND 3.1.1-3.4.3'!E93+'IND 3.1.1-3.4.3'!D97+'IND 3.1.1-3.4.3'!E97+'IND 3.1.1-3.4.3'!D101+'IND 3.1.1-3.4.3'!E101+'IND 3.1.1-3.4.3'!D104+'IND 3.1.1-3.4.3'!E104</f>
        <v>552618</v>
      </c>
      <c r="AP70" s="1998">
        <f>'IND 3.1.1-3.4.3'!B21+'IND 3.1.1-3.4.3'!C21+'IND 3.1.1-3.4.3'!B25+'IND 3.1.1-3.4.3'!C25+'IND 3.1.1-3.4.3'!B29+'IND 3.1.1-3.4.3'!C29+'IND 3.1.1-3.4.3'!B33+'IND 3.1.1-3.4.3'!C33+'IND 3.1.1-3.4.3'!B37+'IND 3.1.1-3.4.3'!C37+'IND 3.1.1-3.4.3'!B41+'IND 3.1.1-3.4.3'!C41+'IND 3.1.1-3.4.3'!B45+'IND 3.1.1-3.4.3'!C45+'IND 3.1.1-3.4.3'!B49+'IND 3.1.1-3.4.3'!C49+'IND 3.1.1-3.4.3'!B53+'IND 3.1.1-3.4.3'!C53+'IND 3.1.1-3.4.3'!B56+'IND 3.1.1-3.4.3'!C56</f>
        <v>14210037</v>
      </c>
      <c r="AQ70" s="1999"/>
      <c r="AR70" s="1518">
        <f>'IND 3.1.1-3.4.3'!B69+'IND 3.1.1-3.4.3'!C69+'IND 3.1.1-3.4.3'!B73+'IND 3.1.1-3.4.3'!C73+'IND 3.1.1-3.4.3'!B77+'IND 3.1.1-3.4.3'!C77+'IND 3.1.1-3.4.3'!B81+'IND 3.1.1-3.4.3'!C81+'IND 3.1.1-3.4.3'!B85+'IND 3.1.1-3.4.3'!C85+'IND 3.1.1-3.4.3'!B89+'IND 3.1.1-3.4.3'!C89+'IND 3.1.1-3.4.3'!B93+'IND 3.1.1-3.4.3'!C93+'IND 3.1.1-3.4.3'!B97+'IND 3.1.1-3.4.3'!C97+'IND 3.1.1-3.4.3'!B101+'IND 3.1.1-3.4.3'!C101+'IND 3.1.1-3.4.3'!B104+'IND 3.1.1-3.4.3'!C104</f>
        <v>2819594</v>
      </c>
      <c r="AS70" s="1519">
        <f t="shared" ref="AS70:AS72" si="13">IF(AP70=0,"",AN70/AP70)</f>
        <v>0.21022971298385781</v>
      </c>
      <c r="AT70" s="1519">
        <f t="shared" ref="AT70:AT72" si="14">IF(AR70=0,"",AO70/AR70)</f>
        <v>0.19599204708195578</v>
      </c>
      <c r="AU70" s="1519">
        <f t="shared" ref="AU70:AU72" si="15">IF((AP70+AR70)=0,"",(AN70+AO70)/(AP70+AR70))</f>
        <v>0.2078723843164893</v>
      </c>
      <c r="AX70" s="1512" t="s">
        <v>715</v>
      </c>
      <c r="AY70" s="1512">
        <f>SUM('IND 1.6.1'!B18:E18)</f>
        <v>30</v>
      </c>
      <c r="BD70" s="1525"/>
      <c r="BE70" s="1525"/>
      <c r="BF70" s="1470"/>
      <c r="BG70" s="1470"/>
      <c r="BI70" s="1488"/>
      <c r="BV70" s="1513" t="s">
        <v>2835</v>
      </c>
      <c r="BW70" s="1514">
        <f>BW69+BW68</f>
        <v>1</v>
      </c>
      <c r="BX70" s="1526"/>
      <c r="BY70" s="1506"/>
      <c r="BZ70" s="1506"/>
      <c r="GJ70" s="1341">
        <v>81</v>
      </c>
      <c r="GK70" s="1341" t="s">
        <v>2805</v>
      </c>
      <c r="GL70" s="1341" t="s">
        <v>2836</v>
      </c>
    </row>
    <row r="71" spans="1:194" ht="14.25" customHeight="1">
      <c r="B71" s="1483" t="s">
        <v>2837</v>
      </c>
      <c r="C71" s="1483"/>
      <c r="D71" s="1520">
        <f>'IND 1.3.1'!F38</f>
        <v>1674</v>
      </c>
      <c r="G71" s="1521"/>
      <c r="H71" s="1522" t="s">
        <v>2838</v>
      </c>
      <c r="I71" s="1517">
        <f>'IND 1.3.1'!F24</f>
        <v>20</v>
      </c>
      <c r="J71" s="1521"/>
      <c r="K71" s="1521"/>
      <c r="M71" s="1523"/>
      <c r="N71" s="1523"/>
      <c r="O71" s="1523"/>
      <c r="P71" s="1523"/>
      <c r="S71" s="1527"/>
      <c r="T71" s="1527"/>
      <c r="U71" s="1527"/>
      <c r="V71" s="1528" t="s">
        <v>2692</v>
      </c>
      <c r="W71" s="1528" t="s">
        <v>2693</v>
      </c>
      <c r="Y71" s="2003" t="s">
        <v>2847</v>
      </c>
      <c r="Z71" s="2003"/>
      <c r="AA71" s="1547">
        <f>AF62-AF63</f>
        <v>19</v>
      </c>
      <c r="AB71" s="1547">
        <f>AG62-AG63</f>
        <v>17</v>
      </c>
      <c r="AF71" s="1530" t="s">
        <v>2833</v>
      </c>
      <c r="AG71" s="1530" t="s">
        <v>2834</v>
      </c>
      <c r="AL71" s="1996" t="s">
        <v>670</v>
      </c>
      <c r="AM71" s="1997"/>
      <c r="AN71" s="1518">
        <f>'IND 3.1.1-3.4.3'!D22+'IND 3.1.1-3.4.3'!E22+'IND 3.1.1-3.4.3'!D26+'IND 3.1.1-3.4.3'!E26+'IND 3.1.1-3.4.3'!D30+'IND 3.1.1-3.4.3'!E30+'IND 3.1.1-3.4.3'!D34+'IND 3.1.1-3.4.3'!E34+'IND 3.1.1-3.4.3'!D38+'IND 3.1.1-3.4.3'!E38+'IND 3.1.1-3.4.3'!D42+'IND 3.1.1-3.4.3'!E42+'IND 3.1.1-3.4.3'!D46+'IND 3.1.1-3.4.3'!E46+'IND 3.1.1-3.4.3'!D50+'IND 3.1.1-3.4.3'!E50+'IND 3.1.1-3.4.3'!D54+'IND 3.1.1-3.4.3'!E54+'IND 3.1.1-3.4.3'!D57+'IND 3.1.1-3.4.3'!E57</f>
        <v>17824813</v>
      </c>
      <c r="AO71" s="1518">
        <f>'IND 3.1.1-3.4.3'!D70+'IND 3.1.1-3.4.3'!E70+'IND 3.1.1-3.4.3'!D74+'IND 3.1.1-3.4.3'!E74+'IND 3.1.1-3.4.3'!D78+'IND 3.1.1-3.4.3'!E78+'IND 3.1.1-3.4.3'!D82+'IND 3.1.1-3.4.3'!E82+'IND 3.1.1-3.4.3'!E86+'IND 3.1.1-3.4.3'!D86+'IND 3.1.1-3.4.3'!D90+'IND 3.1.1-3.4.3'!E90+'IND 3.1.1-3.4.3'!D94+'IND 3.1.1-3.4.3'!E94+'IND 3.1.1-3.4.3'!D98+'IND 3.1.1-3.4.3'!E98+'IND 3.1.1-3.4.3'!D102+'IND 3.1.1-3.4.3'!E102+'IND 3.1.1-3.4.3'!D105+'IND 3.1.1-3.4.3'!E105</f>
        <v>2029221</v>
      </c>
      <c r="AP71" s="1998">
        <f>'IND 3.1.1-3.4.3'!B22+'IND 3.1.1-3.4.3'!C22+'IND 3.1.1-3.4.3'!B26+'IND 3.1.1-3.4.3'!C26+'IND 3.1.1-3.4.3'!B30+'IND 3.1.1-3.4.3'!C30+'IND 3.1.1-3.4.3'!B34+'IND 3.1.1-3.4.3'!C34+'IND 3.1.1-3.4.3'!B38+'IND 3.1.1-3.4.3'!C38+'IND 3.1.1-3.4.3'!B42+'IND 3.1.1-3.4.3'!C42+'IND 3.1.1-3.4.3'!B46+'IND 3.1.1-3.4.3'!C46+'IND 3.1.1-3.4.3'!B50+'IND 3.1.1-3.4.3'!C50+'IND 3.1.1-3.4.3'!B54+'IND 3.1.1-3.4.3'!C54+'IND 3.1.1-3.4.3'!B57+'IND 3.1.1-3.4.3'!C57</f>
        <v>102121757</v>
      </c>
      <c r="AQ71" s="1999"/>
      <c r="AR71" s="1518">
        <f>'IND 3.1.1-3.4.3'!B70+'IND 3.1.1-3.4.3'!C70+'IND 3.1.1-3.4.3'!B74+'IND 3.1.1-3.4.3'!C74+'IND 3.1.1-3.4.3'!B78+'IND 3.1.1-3.4.3'!C78+'IND 3.1.1-3.4.3'!B82+'IND 3.1.1-3.4.3'!C82+'IND 3.1.1-3.4.3'!B86+'IND 3.1.1-3.4.3'!C86+'IND 3.1.1-3.4.3'!B90+'IND 3.1.1-3.4.3'!C90+'IND 3.1.1-3.4.3'!B94+'IND 3.1.1-3.4.3'!C94+'IND 3.1.1-3.4.3'!B98+'IND 3.1.1-3.4.3'!C98+'IND 3.1.1-3.4.3'!B102+'IND 3.1.1-3.4.3'!C102+'IND 3.1.1-3.4.3'!B105+'IND 3.1.1-3.4.3'!C105</f>
        <v>13103816</v>
      </c>
      <c r="AS71" s="1519">
        <f t="shared" si="13"/>
        <v>0.17454471528530399</v>
      </c>
      <c r="AT71" s="1519">
        <f t="shared" si="14"/>
        <v>0.15485725684792886</v>
      </c>
      <c r="AU71" s="1519">
        <f t="shared" si="15"/>
        <v>0.17230579534631604</v>
      </c>
      <c r="AX71" s="1512" t="s">
        <v>670</v>
      </c>
      <c r="AY71" s="1512">
        <f>SUM('IND 1.6.1'!B19:E19)</f>
        <v>408</v>
      </c>
      <c r="BC71" s="1531"/>
      <c r="BD71" s="1531"/>
      <c r="BE71" s="1531"/>
      <c r="BF71" s="1525"/>
      <c r="BG71" s="1525"/>
      <c r="BI71" s="1488"/>
      <c r="BV71" s="1532"/>
      <c r="BW71" s="1533"/>
      <c r="BX71" s="1534"/>
      <c r="BY71" s="1506"/>
      <c r="BZ71" s="1506"/>
      <c r="GJ71" s="1341">
        <v>82</v>
      </c>
      <c r="GK71" s="1341" t="s">
        <v>2805</v>
      </c>
      <c r="GL71" s="1341" t="s">
        <v>2839</v>
      </c>
    </row>
    <row r="72" spans="1:194" ht="14.25" customHeight="1">
      <c r="A72" s="1488"/>
      <c r="F72" s="1521"/>
      <c r="G72" s="1535"/>
      <c r="H72" s="1521"/>
      <c r="I72" s="1521"/>
      <c r="J72" s="1521"/>
      <c r="K72" s="1521"/>
      <c r="L72" s="1319" t="s">
        <v>2635</v>
      </c>
      <c r="M72" s="1536" t="s">
        <v>2736</v>
      </c>
      <c r="N72" s="1536" t="s">
        <v>2692</v>
      </c>
      <c r="O72" s="1536" t="s">
        <v>2693</v>
      </c>
      <c r="P72" s="1536"/>
      <c r="S72" s="1995" t="s">
        <v>2840</v>
      </c>
      <c r="T72" s="1995"/>
      <c r="U72" s="1995"/>
      <c r="V72" s="1537">
        <f>'IND 1.1.1'!$F$376</f>
        <v>551</v>
      </c>
      <c r="W72" s="1538">
        <f>'IND 1.2.1'!M91</f>
        <v>268</v>
      </c>
      <c r="Y72" s="2004" t="s">
        <v>2637</v>
      </c>
      <c r="Z72" s="2005"/>
      <c r="AA72" s="1759"/>
      <c r="AB72" s="1673">
        <f>AB71/(AA71+AB71)</f>
        <v>0.47222222222222221</v>
      </c>
      <c r="AC72" s="1673"/>
      <c r="AE72" s="1540" t="s">
        <v>2841</v>
      </c>
      <c r="AF72" s="1529">
        <f>SUM('IND 1.5.7'!$B$8:$B$10)</f>
        <v>7</v>
      </c>
      <c r="AG72" s="1529">
        <f>SUM('IND 1.5.7'!$C$8:$C$10)</f>
        <v>29</v>
      </c>
      <c r="AL72" s="1996" t="s">
        <v>768</v>
      </c>
      <c r="AM72" s="1997"/>
      <c r="AN72" s="1518">
        <f>SUM(AN69:AN71)</f>
        <v>24901326</v>
      </c>
      <c r="AO72" s="1518">
        <f>SUM(AO69:AO71)</f>
        <v>4101157</v>
      </c>
      <c r="AP72" s="1998">
        <f>SUM(AP69:AQ71)</f>
        <v>134657795</v>
      </c>
      <c r="AQ72" s="1999"/>
      <c r="AR72" s="1518">
        <f>SUM(AR69:AR71)</f>
        <v>20740615</v>
      </c>
      <c r="AS72" s="1519">
        <f t="shared" si="13"/>
        <v>0.18492301912414355</v>
      </c>
      <c r="AT72" s="1519">
        <f t="shared" si="14"/>
        <v>0.19773555412893976</v>
      </c>
      <c r="AU72" s="1519">
        <f t="shared" si="15"/>
        <v>0.186633074302369</v>
      </c>
      <c r="AX72" s="1512" t="s">
        <v>2842</v>
      </c>
      <c r="AY72" s="1512">
        <f>SUM(AY69:AY71)</f>
        <v>452</v>
      </c>
      <c r="BV72" s="2000" t="s">
        <v>2843</v>
      </c>
      <c r="BW72" s="2001"/>
      <c r="BX72" s="2002"/>
      <c r="GJ72" s="1341">
        <v>59</v>
      </c>
      <c r="GK72" s="1341" t="s">
        <v>2844</v>
      </c>
      <c r="GL72" s="1341" t="s">
        <v>2845</v>
      </c>
    </row>
    <row r="73" spans="1:194" ht="14.25" customHeight="1">
      <c r="G73" s="1541"/>
      <c r="H73" s="1542" t="s">
        <v>2005</v>
      </c>
      <c r="I73" s="1542"/>
      <c r="J73" s="1542"/>
      <c r="K73" s="1543"/>
      <c r="L73" s="1544">
        <f>IF(N73&gt;0,RANK(N73,$N$72:$N$80,0)+COUNTIF(N$73:N74,N73)-1,"")</f>
        <v>3</v>
      </c>
      <c r="M73" s="1536" t="s">
        <v>2697</v>
      </c>
      <c r="N73" s="1545">
        <f>IFERROR('IND 1.1.1'!$F$49/('IND 1.1.1'!$F$49+'IND 1.1.1'!$B$49),"")</f>
        <v>3.0195381882770871E-2</v>
      </c>
      <c r="O73" s="1546">
        <f>IFERROR('IND 1.2.1'!$M$20/('IND 1.2.1'!$L$20+'IND 1.2.1'!$M$20),"")</f>
        <v>6.741573033707865E-2</v>
      </c>
      <c r="P73" s="1545"/>
      <c r="S73" s="1995" t="s">
        <v>2846</v>
      </c>
      <c r="T73" s="1995"/>
      <c r="U73" s="1995"/>
      <c r="V73" s="1537">
        <f>SUM('IND 1.1.2'!$D$90:$I$90)</f>
        <v>401</v>
      </c>
      <c r="W73" s="1538">
        <f>SUM('IND 1.2.2'!$D$91:$I$91)</f>
        <v>64</v>
      </c>
      <c r="Y73" s="1992" t="s">
        <v>2857</v>
      </c>
      <c r="Z73" s="1992"/>
      <c r="AA73" s="1529">
        <f>AF64-AF65</f>
        <v>6</v>
      </c>
      <c r="AB73" s="1529">
        <f>AG64-AG65</f>
        <v>3</v>
      </c>
      <c r="AE73" s="1540" t="s">
        <v>2790</v>
      </c>
      <c r="AF73" s="1529"/>
      <c r="AG73" s="1529"/>
      <c r="BG73" s="1525"/>
      <c r="BV73" s="1548" t="str">
        <f>'IND 7.1.1-7.1.3'!$B$20</f>
        <v>Oui</v>
      </c>
      <c r="BW73" s="1549"/>
      <c r="BX73" s="1550"/>
      <c r="GJ73" s="1341">
        <v>62</v>
      </c>
      <c r="GK73" s="1341" t="s">
        <v>2844</v>
      </c>
      <c r="GL73" s="1341" t="s">
        <v>2848</v>
      </c>
    </row>
    <row r="74" spans="1:194" ht="14.25" customHeight="1">
      <c r="B74" s="1483" t="s">
        <v>2009</v>
      </c>
      <c r="C74" s="1483"/>
      <c r="D74" s="1516">
        <f>SUM('IND 1.1.0'!B21:K21,'IND 1.1.0'!B36:K36,'IND 1.1.0'!B51:C51)</f>
        <v>6</v>
      </c>
      <c r="G74" s="1551" t="s">
        <v>2849</v>
      </c>
      <c r="H74" s="1552" t="s">
        <v>2850</v>
      </c>
      <c r="I74" s="1552" t="s">
        <v>2851</v>
      </c>
      <c r="J74" s="1552" t="s">
        <v>2852</v>
      </c>
      <c r="K74" s="1552" t="s">
        <v>2005</v>
      </c>
      <c r="L74" s="1544">
        <f>IF(N74&gt;0,RANK(N74,$N$72:$N$80,0)+COUNTIF(N$73:N75,N74)-1,"")</f>
        <v>1</v>
      </c>
      <c r="M74" s="1536" t="s">
        <v>2699</v>
      </c>
      <c r="N74" s="1545">
        <f>IFERROR('IND 1.1.1'!$F$90/('IND 1.1.1'!$F$90+'IND 1.1.1'!$B$90),"")</f>
        <v>0.23796033994334279</v>
      </c>
      <c r="O74" s="1546">
        <f>IFERROR('IND 1.2.1'!$M$28/('IND 1.2.1'!$L$28+'IND 1.2.1'!$M$28),"")</f>
        <v>0.63071895424836599</v>
      </c>
      <c r="P74" s="1545"/>
      <c r="Y74" s="1993" t="s">
        <v>2637</v>
      </c>
      <c r="Z74" s="1994"/>
      <c r="AA74" s="1760"/>
      <c r="AB74" s="1673">
        <f>AB73/(AA73+AB73)</f>
        <v>0.33333333333333331</v>
      </c>
      <c r="AC74" s="1673"/>
      <c r="AE74" s="1540" t="s">
        <v>2637</v>
      </c>
      <c r="AF74" s="1539"/>
      <c r="AG74" s="1539">
        <f>+AG72/SUM(AF72:AG72)</f>
        <v>0.80555555555555558</v>
      </c>
      <c r="AX74" s="1991" t="s">
        <v>2853</v>
      </c>
      <c r="AY74" s="1991"/>
      <c r="AZ74" s="1991"/>
      <c r="BA74" s="1991"/>
      <c r="BB74" s="1991"/>
      <c r="BC74" s="1991"/>
      <c r="BD74" s="1991"/>
      <c r="BE74" s="1991"/>
      <c r="BF74" s="1540" t="s">
        <v>694</v>
      </c>
      <c r="BG74" s="1553"/>
      <c r="BO74" s="1488"/>
      <c r="GJ74" s="1341">
        <v>50</v>
      </c>
      <c r="GK74" s="1341" t="s">
        <v>2854</v>
      </c>
      <c r="GL74" s="1341" t="s">
        <v>2855</v>
      </c>
    </row>
    <row r="75" spans="1:194" ht="14.25" customHeight="1">
      <c r="B75" s="1483" t="s">
        <v>2856</v>
      </c>
      <c r="C75" s="1483"/>
      <c r="D75" s="1520">
        <f>'IND 1.1.0'!B51+'IND 1.1.0'!C51</f>
        <v>3</v>
      </c>
      <c r="G75" s="1554" t="s">
        <v>810</v>
      </c>
      <c r="H75" s="1555">
        <f>22.5*'IND 1.7.1'!$C$37</f>
        <v>540</v>
      </c>
      <c r="I75" s="1555">
        <f>22.5*'IND 1.7.1'!$D$37</f>
        <v>1620</v>
      </c>
      <c r="J75" s="1555">
        <f>22.5*'IND 1.7.1'!$E$37</f>
        <v>3847.5</v>
      </c>
      <c r="K75" s="1555">
        <f t="shared" ref="K75:K84" si="16">SUM($H75:$I75)</f>
        <v>2160</v>
      </c>
      <c r="L75" s="1544">
        <f>IF(N75&gt;0,RANK(N75,$N$72:$N$80,0)+COUNTIF(N$73:N76,N75)-1,"")</f>
        <v>4</v>
      </c>
      <c r="M75" s="1536" t="s">
        <v>2702</v>
      </c>
      <c r="N75" s="1545">
        <f>IFERROR('IND 1.1.1'!$F$145/('IND 1.1.1'!$F$145+'IND 1.1.1'!$B$145),"")</f>
        <v>2.7027027027027029E-2</v>
      </c>
      <c r="O75" s="1546">
        <f>IFERROR('IND 1.2.1'!$M$39/('IND 1.2.1'!$L$39+'IND 1.2.1'!$M$39),"")</f>
        <v>0.53521126760563376</v>
      </c>
      <c r="P75" s="1545"/>
      <c r="Y75" s="1992" t="s">
        <v>2865</v>
      </c>
      <c r="Z75" s="1992"/>
      <c r="AA75" s="1529">
        <f>AF66-AF67</f>
        <v>3</v>
      </c>
      <c r="AB75" s="1529">
        <f>AG66-AG67</f>
        <v>13</v>
      </c>
      <c r="AX75" s="1991" t="s">
        <v>885</v>
      </c>
      <c r="AY75" s="1991"/>
      <c r="AZ75" s="1991"/>
      <c r="BA75" s="1991"/>
      <c r="BB75" s="1991"/>
      <c r="BC75" s="1991"/>
      <c r="BD75" s="1991"/>
      <c r="BE75" s="1991"/>
      <c r="BF75" s="1556">
        <f>SUM('IND 2.2.6'!$B$12:$G$12,'IND 2.2.6'!$B$21:$G$21)</f>
        <v>6290</v>
      </c>
      <c r="BG75" s="1553"/>
      <c r="BL75" s="1488"/>
      <c r="BM75" s="1488"/>
      <c r="GJ75" s="1341">
        <v>44</v>
      </c>
      <c r="GK75" s="1341" t="s">
        <v>2858</v>
      </c>
      <c r="GL75" s="1341" t="s">
        <v>2859</v>
      </c>
    </row>
    <row r="76" spans="1:194" ht="14.25" customHeight="1">
      <c r="B76" s="1483" t="s">
        <v>2860</v>
      </c>
      <c r="C76" s="1483"/>
      <c r="D76" s="1520">
        <f>'IND 1.1.0'!C21+'IND 1.1.0'!E21+'IND 1.1.0'!G21+'IND 1.1.0'!I21+'IND 1.1.0'!K21+'IND 1.1.0'!C35+'IND 1.1.0'!E36+'IND 1.1.0'!G36+'IND 1.1.0'!I36+'IND 1.1.0'!K36+'IND 1.1.0'!C51</f>
        <v>2</v>
      </c>
      <c r="G76" s="1554" t="s">
        <v>2861</v>
      </c>
      <c r="H76" s="1555">
        <f>27.5*'IND 1.7.1'!$C$38</f>
        <v>4977.5</v>
      </c>
      <c r="I76" s="1555">
        <f>27.5*'IND 1.7.1'!$D$38</f>
        <v>4042.5</v>
      </c>
      <c r="J76" s="1555">
        <f>27.5*'IND 1.7.1'!$E$38</f>
        <v>3190</v>
      </c>
      <c r="K76" s="1555">
        <f t="shared" si="16"/>
        <v>9020</v>
      </c>
      <c r="L76" s="1544">
        <f>IF(N76&gt;0,RANK(N76,$N$72:$N$80,0)+COUNTIF(N$73:N77,N76)-1,"")</f>
        <v>2</v>
      </c>
      <c r="M76" s="1536" t="s">
        <v>2704</v>
      </c>
      <c r="N76" s="1545">
        <f>IFERROR('IND 1.1.1'!$F$166/('IND 1.1.1'!$F$166+'IND 1.1.1'!$B$166),"")</f>
        <v>6.8965517241379309E-2</v>
      </c>
      <c r="O76" s="1546">
        <f>IFERROR('IND 1.2.1'!$M$44/('IND 1.2.1'!$L$44+'IND 1.2.1'!$M$44),"")</f>
        <v>0.43243243243243246</v>
      </c>
      <c r="P76" s="1545"/>
      <c r="Y76" s="1993" t="s">
        <v>2637</v>
      </c>
      <c r="Z76" s="1994"/>
      <c r="AA76" s="1760"/>
      <c r="AB76" s="1673">
        <f>AB75/(AA75+AB75)</f>
        <v>0.8125</v>
      </c>
      <c r="AK76" s="1974" t="s">
        <v>2862</v>
      </c>
      <c r="AL76" s="1975" t="str">
        <f>IF('IND 3.1.1-3.4.3'!$A$138="Êtes en auto-assurance avec convention de gestion avec Pôle Emploi","La collectivité est en auto-assurance avec convention de gestion avec Pôle Emploi pour l'assurance chômage de ses agents contractuels",IF('IND 3.1.1-3.4.3'!$A$138="Êtes en auto-assurance sans convention de gestion avec Pôle Emploi","La collectivité est en auto-assurance sans convention de gestion avec Pôle Emploi pour l'assurance chômage de ses agents contractuels",IF('IND 3.1.1-3.4.3'!$A$138="Avez adhéré au régime d'assurance chômage","La collectivité a adhéré au régime général d'assurance chômage pour l'assurance chômage de ses agents contractuels"," ")))</f>
        <v>La collectivité est en auto-assurance sans convention de gestion avec Pôle Emploi pour l'assurance chômage de ses agents contractuels</v>
      </c>
      <c r="AM76" s="1975"/>
      <c r="AN76" s="1975"/>
      <c r="AO76" s="1975"/>
      <c r="AP76" s="1975"/>
      <c r="AQ76" s="1975"/>
      <c r="AX76" s="1991" t="s">
        <v>1420</v>
      </c>
      <c r="AY76" s="1991"/>
      <c r="AZ76" s="1991"/>
      <c r="BA76" s="1991"/>
      <c r="BB76" s="1991"/>
      <c r="BC76" s="1991"/>
      <c r="BD76" s="1991"/>
      <c r="BE76" s="1991"/>
      <c r="BF76" s="1556">
        <f>SUM('IND 2.2.6'!$B$13:$G$13,'IND 2.2.6'!$B$22:$G$22)</f>
        <v>2992</v>
      </c>
      <c r="BL76" s="1488"/>
      <c r="BM76" s="1488"/>
      <c r="GJ76" s="1341">
        <v>49</v>
      </c>
      <c r="GK76" s="1341" t="s">
        <v>2858</v>
      </c>
      <c r="GL76" s="1341" t="s">
        <v>2863</v>
      </c>
    </row>
    <row r="77" spans="1:194" ht="14.25" customHeight="1">
      <c r="G77" s="1554" t="s">
        <v>2864</v>
      </c>
      <c r="H77" s="1555">
        <f>32.5*'IND 1.7.1'!$C$39</f>
        <v>12870</v>
      </c>
      <c r="I77" s="1555">
        <f>32.5*'IND 1.7.1'!$D$39</f>
        <v>4355</v>
      </c>
      <c r="J77" s="1555">
        <f>32.5*'IND 1.7.1'!$E$39</f>
        <v>4225</v>
      </c>
      <c r="K77" s="1555">
        <f t="shared" si="16"/>
        <v>17225</v>
      </c>
      <c r="L77" s="1544" t="str">
        <f>IF(N77&gt;0,RANK(N77,$N$72:$N$80,0)+COUNTIF(N$73:N78,N77)-1,"")</f>
        <v/>
      </c>
      <c r="M77" s="1536" t="s">
        <v>2711</v>
      </c>
      <c r="N77" s="1545">
        <f>IFERROR(('IND 1.1.1'!$F$204+'IND 1.1.1'!$F$266+'IND 1.1.1'!$F$280)/('IND 1.1.1'!$F$204+'IND 1.1.1'!$F$266+'IND 1.1.1'!$F$280+'IND 1.1.1'!$B$204+'IND 1.1.1'!$B$266+'IND 1.1.1'!$B$280),"")</f>
        <v>0</v>
      </c>
      <c r="O77" s="1546">
        <f>IFERROR(('IND 1.2.1'!$M$52+'IND 1.2.1'!$M$65+'IND 1.2.1'!$M$69)/('IND 1.2.1'!$M$52+'IND 1.2.1'!$M$65+'IND 1.2.1'!$M$69+'IND 1.2.1'!$L$52+'IND 1.2.1'!$L$65+'IND 1.2.1'!$L$69),"")</f>
        <v>0</v>
      </c>
      <c r="P77" s="1545"/>
      <c r="Y77" s="1992" t="s">
        <v>2870</v>
      </c>
      <c r="Z77" s="1992"/>
      <c r="AA77" s="1529">
        <f>'IND 1.1.1'!$G$376</f>
        <v>1578</v>
      </c>
      <c r="AB77" s="1529">
        <f>'IND 1.1.1'!$H$376</f>
        <v>3258</v>
      </c>
      <c r="AF77" s="1524" t="s">
        <v>1852</v>
      </c>
      <c r="AG77" s="1524" t="s">
        <v>447</v>
      </c>
      <c r="AH77" s="1524" t="s">
        <v>375</v>
      </c>
      <c r="AK77" s="1974"/>
      <c r="AL77" s="1975"/>
      <c r="AM77" s="1975"/>
      <c r="AN77" s="1975"/>
      <c r="AO77" s="1975"/>
      <c r="AP77" s="1975"/>
      <c r="AQ77" s="1975"/>
      <c r="BL77" s="1488"/>
      <c r="BM77" s="1488"/>
      <c r="GJ77" s="1341">
        <v>53</v>
      </c>
      <c r="GK77" s="1341" t="s">
        <v>2858</v>
      </c>
      <c r="GL77" s="1341" t="s">
        <v>2866</v>
      </c>
    </row>
    <row r="78" spans="1:194" ht="14.25" customHeight="1">
      <c r="G78" s="1554" t="s">
        <v>2867</v>
      </c>
      <c r="H78" s="1555">
        <f>37.5*'IND 1.7.1'!$C$40</f>
        <v>18075</v>
      </c>
      <c r="I78" s="1555">
        <f>37.5*'IND 1.7.1'!$D$40</f>
        <v>5062.5</v>
      </c>
      <c r="J78" s="1555">
        <f>37.5*'IND 1.7.1'!$E$40</f>
        <v>4987.5</v>
      </c>
      <c r="K78" s="1555">
        <f t="shared" si="16"/>
        <v>23137.5</v>
      </c>
      <c r="L78" s="1544" t="str">
        <f>IF(N78&gt;0,RANK(N78,$N$72:$N$80,0)+COUNTIF(N$73:N79,N78)-1,"")</f>
        <v/>
      </c>
      <c r="M78" s="1536" t="s">
        <v>2713</v>
      </c>
      <c r="N78" s="1545">
        <f>IFERROR('IND 1.1.1'!$F$305/('IND 1.1.1'!$F$305+'IND 1.1.1'!$B$305),"")</f>
        <v>0</v>
      </c>
      <c r="O78" s="1546" t="str">
        <f>IFERROR('IND 1.2.1'!$M$75/('IND 1.2.1'!$L$75+'IND 1.2.1'!$M$75),"")</f>
        <v/>
      </c>
      <c r="P78" s="1545"/>
      <c r="AE78" s="1540" t="s">
        <v>2841</v>
      </c>
      <c r="AF78" s="1529">
        <f>SUM('IND 1.5.7'!$B$8:$C$8)</f>
        <v>16</v>
      </c>
      <c r="AG78" s="1529">
        <f>SUM('IND 1.5.7'!$B$9:$C$9)</f>
        <v>9</v>
      </c>
      <c r="AH78" s="1529">
        <f>SUM('IND 1.5.7'!$B$10:$C$10)</f>
        <v>11</v>
      </c>
      <c r="AK78" s="1974"/>
      <c r="AL78" s="1975"/>
      <c r="AM78" s="1975"/>
      <c r="AN78" s="1975"/>
      <c r="AO78" s="1975"/>
      <c r="AP78" s="1975"/>
      <c r="AQ78" s="1975"/>
      <c r="BL78" s="1488"/>
      <c r="BM78" s="1488"/>
      <c r="GJ78" s="1341">
        <v>72</v>
      </c>
      <c r="GK78" s="1341" t="s">
        <v>2858</v>
      </c>
      <c r="GL78" s="1341" t="s">
        <v>2868</v>
      </c>
    </row>
    <row r="79" spans="1:194" ht="14.25" customHeight="1">
      <c r="G79" s="1554" t="s">
        <v>2869</v>
      </c>
      <c r="H79" s="1555">
        <f>42.5*'IND 1.7.1'!$C$41</f>
        <v>24820</v>
      </c>
      <c r="I79" s="1555">
        <f>42.5*'IND 1.7.1'!$D$41</f>
        <v>4887.5</v>
      </c>
      <c r="J79" s="1555">
        <f>42.5*'IND 1.7.1'!$E$41</f>
        <v>6800</v>
      </c>
      <c r="K79" s="1555">
        <f t="shared" si="16"/>
        <v>29707.5</v>
      </c>
      <c r="L79" s="1544" t="e">
        <f>IF(N79&gt;0,RANK(N79,$N$72:$N$80,0)+COUNTIF(N$73:N80,N79)-1,"")</f>
        <v>#VALUE!</v>
      </c>
      <c r="M79" s="1536" t="s">
        <v>2715</v>
      </c>
      <c r="N79" s="1545" t="str">
        <f>IFERROR('IND 1.1.1'!$F$357/('IND 1.1.1'!$F$357+'IND 1.1.1'!$B$357),"")</f>
        <v/>
      </c>
      <c r="O79" s="1546" t="str">
        <f>IFERROR('IND 1.2.1'!$M$85/('IND 1.2.1'!$L$85+'IND 1.2.1'!$M$85),"")</f>
        <v/>
      </c>
      <c r="P79" s="1545"/>
      <c r="S79" s="1754"/>
      <c r="T79" s="2103"/>
      <c r="U79" s="2103"/>
      <c r="V79" s="2103"/>
      <c r="W79" s="2103"/>
      <c r="AE79" s="1540" t="s">
        <v>2790</v>
      </c>
      <c r="AF79" s="1529"/>
      <c r="AG79" s="1529"/>
      <c r="AH79" s="1529"/>
      <c r="AK79" s="1974"/>
      <c r="AL79" s="1975"/>
      <c r="AM79" s="1975"/>
      <c r="AN79" s="1975"/>
      <c r="AO79" s="1975"/>
      <c r="AP79" s="1975"/>
      <c r="AQ79" s="1975"/>
      <c r="GJ79" s="1341">
        <v>85</v>
      </c>
      <c r="GK79" s="1341" t="s">
        <v>2858</v>
      </c>
      <c r="GL79" s="1341" t="s">
        <v>2871</v>
      </c>
    </row>
    <row r="80" spans="1:194" ht="14.25" customHeight="1">
      <c r="B80" s="1319" t="s">
        <v>2872</v>
      </c>
      <c r="G80" s="1554" t="s">
        <v>2873</v>
      </c>
      <c r="H80" s="1555">
        <f>47.5*'IND 1.7.1'!$C$42</f>
        <v>33962.5</v>
      </c>
      <c r="I80" s="1555">
        <f>47.5*'IND 1.7.1'!$D$42</f>
        <v>4085</v>
      </c>
      <c r="J80" s="1555">
        <f>47.5*'IND 1.7.1'!$E$42</f>
        <v>8312.5</v>
      </c>
      <c r="K80" s="1555">
        <f t="shared" si="16"/>
        <v>38047.5</v>
      </c>
      <c r="L80" s="1544" t="str">
        <f>IF(N80&gt;0,RANK(N80,$N$72:$N$80,0)+COUNTIF(N$73:N81,N80)-1,"")</f>
        <v/>
      </c>
      <c r="M80" s="1536" t="s">
        <v>2718</v>
      </c>
      <c r="N80" s="1545">
        <f>IFERROR('IND 1.1.1'!$F$374/('IND 1.1.1'!$F$374+'IND 1.1.1'!$B$374),"")</f>
        <v>0</v>
      </c>
      <c r="O80" s="1546">
        <f>IFERROR('IND 1.2.1'!$M$89/('IND 1.2.1'!$L$89+'IND 1.2.1'!$M$89),"")</f>
        <v>0.2</v>
      </c>
      <c r="P80" s="1545"/>
      <c r="S80" s="1754"/>
      <c r="T80" s="2103"/>
      <c r="U80" s="2103"/>
      <c r="V80" s="2103"/>
      <c r="W80" s="2103"/>
      <c r="AE80" s="1540" t="s">
        <v>2637</v>
      </c>
      <c r="AF80" s="1539"/>
      <c r="AG80" s="1539"/>
      <c r="AH80" s="1539">
        <f>AH78/SUM(AF78:AH78)</f>
        <v>0.30555555555555558</v>
      </c>
      <c r="AK80" s="1974"/>
      <c r="AL80" s="1975"/>
      <c r="AM80" s="1975"/>
      <c r="AN80" s="1975"/>
      <c r="AO80" s="1975"/>
      <c r="AP80" s="1975"/>
      <c r="AQ80" s="1975"/>
      <c r="BS80" s="1488"/>
      <c r="GJ80" s="1341">
        <v>2</v>
      </c>
      <c r="GK80" s="1341" t="s">
        <v>2874</v>
      </c>
      <c r="GL80" s="1341" t="s">
        <v>2875</v>
      </c>
    </row>
    <row r="81" spans="2:194" ht="14.25" customHeight="1">
      <c r="D81" s="1319" t="s">
        <v>2833</v>
      </c>
      <c r="E81" s="1319" t="s">
        <v>2834</v>
      </c>
      <c r="F81" s="1319" t="s">
        <v>1249</v>
      </c>
      <c r="G81" s="1554" t="s">
        <v>2876</v>
      </c>
      <c r="H81" s="1555">
        <f>52.5*'IND 1.7.1'!$C$43</f>
        <v>42472.5</v>
      </c>
      <c r="I81" s="1555">
        <f>52.5*'IND 1.7.1'!$D$43</f>
        <v>4252.5</v>
      </c>
      <c r="J81" s="1555">
        <f>52.5*'IND 1.7.1'!$E$43</f>
        <v>11025</v>
      </c>
      <c r="K81" s="1555">
        <f t="shared" si="16"/>
        <v>46725</v>
      </c>
      <c r="M81" s="1439"/>
      <c r="N81" s="1439"/>
      <c r="O81" s="1439"/>
      <c r="P81" s="1439"/>
      <c r="S81" s="1755"/>
      <c r="T81" s="2103"/>
      <c r="U81" s="2103"/>
      <c r="V81" s="2103"/>
      <c r="W81" s="2103"/>
      <c r="X81" s="1521"/>
      <c r="Y81" s="1488"/>
      <c r="Z81" s="1488"/>
      <c r="AA81" s="1488"/>
      <c r="AB81" s="1488"/>
      <c r="AC81" s="1488"/>
      <c r="AD81" s="1488"/>
      <c r="AE81" s="1488"/>
      <c r="AF81" s="1488"/>
      <c r="AG81" s="1488"/>
      <c r="AH81" s="1488"/>
      <c r="AK81" s="1974" t="s">
        <v>2877</v>
      </c>
      <c r="AL81" s="1975" t="str">
        <f>IF('IND 3.1.1-3.4.3'!$B$141=0," ",
IF('IND 3.1.1-3.4.3'!$B$141=1,"en 2020, "&amp;'IND 3.1.1-3.4.3'!$B$141&amp;" allocataire a bénéficié de l'indemnisation du chômage (ancien contractuel)",
IF('IND 3.1.1-3.4.3'!$B$141&gt;1,"en 2020, "&amp;'IND 3.1.1-3.4.3'!$B$141&amp;" allocataires ont bénéficié de l'indemnisation du chômage (anciens contractuels)")))</f>
        <v>en 2020, 281 allocataires ont bénéficié de l'indemnisation du chômage (anciens contractuels)</v>
      </c>
      <c r="AM81" s="1975"/>
      <c r="AN81" s="1975"/>
      <c r="AO81" s="1975"/>
      <c r="AP81" s="1975"/>
      <c r="AQ81" s="1975"/>
      <c r="GJ81" s="1341">
        <v>60</v>
      </c>
      <c r="GK81" s="1341" t="s">
        <v>2874</v>
      </c>
      <c r="GL81" s="1341" t="s">
        <v>2878</v>
      </c>
    </row>
    <row r="82" spans="2:194" ht="14.25" customHeight="1">
      <c r="B82" s="1319" t="s">
        <v>670</v>
      </c>
      <c r="D82" s="1557">
        <f>'IND 1.1.4'!$C$35+'IND 1.1.4'!$C$39+'IND 1.1.4'!$C$43+'IND 1.1.4'!$C$47+'IND 1.1.4'!$C$51+'IND 1.1.4'!$C$55+'IND 1.1.4'!$C$59+'IND 1.1.4'!$C$63+'IND 1.1.4'!$C$67+'IND 1.1.4'!$C$70+'IND 1.2.4'!$C$34+'IND 1.2.4'!$C$38+'IND 1.2.4'!$C$42+'IND 1.2.4'!$C$46+'IND 1.2.4'!$C$50+'IND 1.2.4'!$C$54+'IND 1.2.4'!$C$58+'IND 1.2.4'!$C$62+'IND 1.2.4'!$C$66+'IND 1.2.4'!$C$69</f>
        <v>1338.3</v>
      </c>
      <c r="E82" s="1557">
        <f>'IND 1.1.4'!$D$35+'IND 1.1.4'!$D$39+'IND 1.1.4'!$D$43+'IND 1.1.4'!$D$47+'IND 1.1.4'!$D$51+'IND 1.1.4'!$D$55+'IND 1.1.4'!$D$59+'IND 1.1.4'!$D$63+'IND 1.1.4'!$D$67+'IND 1.1.4'!$D$70+'IND 1.2.4'!$D$34+'IND 1.2.4'!$D$38+'IND 1.2.4'!$D$42+'IND 1.2.4'!$D$46+'IND 1.2.4'!$D$50+'IND 1.2.4'!$D$54+'IND 1.2.4'!$D$58+'IND 1.2.4'!$D$62+'IND 1.2.4'!$D$66+'IND 1.2.4'!$D$69</f>
        <v>2918.11</v>
      </c>
      <c r="F82" s="1557">
        <f>SUM(D82:E82)</f>
        <v>4256.41</v>
      </c>
      <c r="G82" s="1554" t="s">
        <v>2879</v>
      </c>
      <c r="H82" s="1555">
        <f>57.5*'IND 1.7.1'!$C$44</f>
        <v>54395</v>
      </c>
      <c r="I82" s="1555">
        <f>57.5*'IND 1.7.1'!$D$44</f>
        <v>5175</v>
      </c>
      <c r="J82" s="1555">
        <f>57.5*'IND 1.7.1'!$E$44</f>
        <v>9660</v>
      </c>
      <c r="K82" s="1555">
        <f t="shared" si="16"/>
        <v>59570</v>
      </c>
      <c r="M82" s="1536" t="s">
        <v>2880</v>
      </c>
      <c r="N82" s="1536"/>
      <c r="O82" s="1536"/>
      <c r="P82" s="1536"/>
      <c r="Q82" s="1523"/>
      <c r="S82" s="1754"/>
      <c r="T82" s="1756"/>
      <c r="U82" s="1756"/>
      <c r="V82" s="1756"/>
      <c r="W82" s="1756"/>
      <c r="X82" s="1521"/>
      <c r="Y82" s="1982" t="s">
        <v>2881</v>
      </c>
      <c r="Z82" s="1983"/>
      <c r="AA82" s="1983"/>
      <c r="AB82" s="1983"/>
      <c r="AC82" s="1983"/>
      <c r="AD82" s="1983"/>
      <c r="AE82" s="1984"/>
      <c r="AG82" s="1558"/>
      <c r="AH82" s="1488"/>
      <c r="AK82" s="1974"/>
      <c r="AL82" s="1975"/>
      <c r="AM82" s="1975"/>
      <c r="AN82" s="1975"/>
      <c r="AO82" s="1975"/>
      <c r="AP82" s="1975"/>
      <c r="AQ82" s="1975"/>
      <c r="GJ82" s="1341">
        <v>80</v>
      </c>
      <c r="GK82" s="1341" t="s">
        <v>2874</v>
      </c>
      <c r="GL82" s="1341" t="s">
        <v>2882</v>
      </c>
    </row>
    <row r="83" spans="2:194" ht="14.25" customHeight="1">
      <c r="B83" s="1319" t="s">
        <v>715</v>
      </c>
      <c r="D83" s="1557">
        <f>'IND 1.1.4'!$C$34+'IND 1.1.4'!$C$38+'IND 1.1.4'!$C$42+'IND 1.1.4'!$C$46+'IND 1.1.4'!$C$50+'IND 1.1.4'!$C$54+'IND 1.1.4'!$C$58+'IND 1.1.4'!$C$62+'IND 1.1.4'!$C$66+'IND 1.1.4'!$C$69+'IND 1.2.4'!$C$33+'IND 1.2.4'!$C$37+'IND 1.2.4'!$C$41+'IND 1.2.4'!$C$45+'IND 1.2.4'!$C$49+'IND 1.2.4'!$C$53+'IND 1.2.4'!$C$57+'IND 1.2.4'!$C$61+'IND 1.2.4'!$C$65+'IND 1.2.4'!$C$68</f>
        <v>223.84999999999997</v>
      </c>
      <c r="E83" s="1557">
        <f>'IND 1.1.4'!$D$34+'IND 1.1.4'!$D$38+'IND 1.1.4'!$D$42+'IND 1.1.4'!$D$46+'IND 1.1.4'!$D$50+'IND 1.1.4'!$D$54+'IND 1.1.4'!$D$58+'IND 1.1.4'!$D$62+'IND 1.1.4'!$D$66+'IND 1.1.4'!$D$69+'IND 1.2.4'!$D$33+'IND 1.2.4'!$D$37+'IND 1.2.4'!$D$41+'IND 1.2.4'!$D$45+'IND 1.2.4'!$D$49+'IND 1.2.4'!$D$53+'IND 1.2.4'!$D$57+'IND 1.2.4'!$D$61+'IND 1.2.4'!$D$65+'IND 1.2.4'!$D$68</f>
        <v>256.57000000000005</v>
      </c>
      <c r="F83" s="1557">
        <f>SUM(D83:E83)</f>
        <v>480.42</v>
      </c>
      <c r="G83" s="1554" t="s">
        <v>2883</v>
      </c>
      <c r="H83" s="1555">
        <f>62.5*'IND 1.7.1'!$C$45</f>
        <v>38437.5</v>
      </c>
      <c r="I83" s="1555">
        <f>62.5*'IND 1.7.1'!$D$45</f>
        <v>1875</v>
      </c>
      <c r="J83" s="1555">
        <f>62.5*'IND 1.7.1'!$E$45</f>
        <v>8625</v>
      </c>
      <c r="K83" s="1555">
        <f t="shared" si="16"/>
        <v>40312.5</v>
      </c>
      <c r="M83" s="1439"/>
      <c r="N83" s="1439"/>
      <c r="O83" s="1439"/>
      <c r="P83" s="1439"/>
      <c r="X83" s="1521"/>
      <c r="AA83" s="1559" t="s">
        <v>2635</v>
      </c>
      <c r="AB83" s="1491"/>
      <c r="AE83" s="1560" t="s">
        <v>2884</v>
      </c>
      <c r="AF83" s="1559" t="s">
        <v>1513</v>
      </c>
      <c r="AG83" s="1559" t="s">
        <v>2251</v>
      </c>
      <c r="AK83" s="1974"/>
      <c r="AL83" s="1975"/>
      <c r="AM83" s="1975"/>
      <c r="AN83" s="1975"/>
      <c r="AO83" s="1975"/>
      <c r="AP83" s="1975"/>
      <c r="AQ83" s="1975"/>
      <c r="GJ83" s="1341">
        <v>16</v>
      </c>
      <c r="GK83" s="1341" t="s">
        <v>2885</v>
      </c>
      <c r="GL83" s="1341" t="s">
        <v>2886</v>
      </c>
    </row>
    <row r="84" spans="2:194" ht="14.25" customHeight="1">
      <c r="B84" s="1319" t="s">
        <v>714</v>
      </c>
      <c r="D84" s="1557">
        <f>'IND 1.1.4'!$C$33+'IND 1.1.4'!$C$37+'IND 1.1.4'!$C$41+'IND 1.1.4'!$C$45+'IND 1.1.4'!$C$49+'IND 1.1.4'!$C$53+'IND 1.1.4'!$C$57+'IND 1.1.4'!$C$61+'IND 1.1.4'!$C$65+'IND 1.2.4'!$C$32+'IND 1.2.4'!$C$36+'IND 1.2.4'!$C$40+'IND 1.2.4'!$C$44+'IND 1.2.4'!$C$48+'IND 1.2.4'!$C$52+'IND 1.2.4'!$C$56+'IND 1.2.4'!$C$60+'IND 1.2.4'!$C$64</f>
        <v>172.82</v>
      </c>
      <c r="E84" s="1557">
        <f>'IND 1.1.4'!$D$33+'IND 1.1.4'!$D$37+'IND 1.1.4'!$D$41+'IND 1.1.4'!$D$45+'IND 1.1.4'!$D$49+'IND 1.1.4'!$D$53+'IND 1.1.4'!$D$57+'IND 1.1.4'!$D$61+'IND 1.1.4'!$D$65+'IND 1.2.4'!$D$32+'IND 1.2.4'!$D$36+'IND 1.2.4'!$D$40+'IND 1.2.4'!$D$44+'IND 1.2.4'!$D$48+'IND 1.2.4'!$D$52+'IND 1.2.4'!$D$56+'IND 1.2.4'!$D$60+'IND 1.2.4'!$D$64</f>
        <v>296.52</v>
      </c>
      <c r="F84" s="1561">
        <f>SUM(D84:E84)</f>
        <v>469.34</v>
      </c>
      <c r="G84" s="1562" t="s">
        <v>2887</v>
      </c>
      <c r="H84" s="1555">
        <f>67.5*'IND 1.7.1'!$C$46</f>
        <v>5670</v>
      </c>
      <c r="I84" s="1555">
        <f>67.5*'IND 1.7.1'!$D$46</f>
        <v>607.5</v>
      </c>
      <c r="J84" s="1555">
        <f>67.5*'IND 1.7.1'!$E$46</f>
        <v>18427.5</v>
      </c>
      <c r="K84" s="1555">
        <f t="shared" si="16"/>
        <v>6277.5</v>
      </c>
      <c r="M84" s="1563"/>
      <c r="N84" s="1563" t="s">
        <v>2812</v>
      </c>
      <c r="O84" s="1563" t="s">
        <v>2813</v>
      </c>
      <c r="P84" s="1563"/>
      <c r="X84" s="1521"/>
      <c r="Y84" s="1959" t="s">
        <v>750</v>
      </c>
      <c r="Z84" s="1985" t="s">
        <v>2888</v>
      </c>
      <c r="AA84" s="1987"/>
      <c r="AB84" s="1989" t="s">
        <v>2889</v>
      </c>
      <c r="AC84" s="1989"/>
      <c r="AD84" s="1989"/>
      <c r="AE84" s="1564">
        <f t="shared" ref="AE84:AE98" si="17">IF($D$69+$D$70&gt;0,(AF84+AG84)/($AF$105+$AG$105),"")</f>
        <v>0</v>
      </c>
      <c r="AF84" s="1565"/>
      <c r="AG84" s="1566"/>
      <c r="AK84" s="1974"/>
      <c r="AL84" s="1975"/>
      <c r="AM84" s="1975"/>
      <c r="AN84" s="1975"/>
      <c r="AO84" s="1975"/>
      <c r="AP84" s="1975"/>
      <c r="AQ84" s="1975"/>
      <c r="GJ84" s="1341">
        <v>17</v>
      </c>
      <c r="GK84" s="1341" t="s">
        <v>2885</v>
      </c>
      <c r="GL84" s="1341" t="s">
        <v>2890</v>
      </c>
    </row>
    <row r="85" spans="2:194" ht="14.25" customHeight="1">
      <c r="G85" s="1567" t="s">
        <v>696</v>
      </c>
      <c r="H85" s="1555">
        <f>SUM(H75:H84)</f>
        <v>236220</v>
      </c>
      <c r="I85" s="1555">
        <f>SUM(I75:I84)</f>
        <v>35962.5</v>
      </c>
      <c r="J85" s="1555">
        <f>SUM(J75:J84)</f>
        <v>79100</v>
      </c>
      <c r="K85" s="1555">
        <f>SUM(K75:K84)</f>
        <v>272182.5</v>
      </c>
      <c r="M85" s="1563" t="s">
        <v>707</v>
      </c>
      <c r="N85" s="1568">
        <f>('IND 1.1.2'!B90+'IND 1.2.2'!B91)/('IND 1.1.2'!J90+'IND 1.2.2'!J91)</f>
        <v>0.99257990867579904</v>
      </c>
      <c r="O85" s="1568">
        <f>1-N85</f>
        <v>7.4200913242009614E-3</v>
      </c>
      <c r="P85" s="1568"/>
      <c r="X85" s="1521"/>
      <c r="Y85" s="1960"/>
      <c r="Z85" s="1986"/>
      <c r="AA85" s="1988"/>
      <c r="AB85" s="1990" t="s">
        <v>2891</v>
      </c>
      <c r="AC85" s="1990"/>
      <c r="AD85" s="1990"/>
      <c r="AE85" s="1569">
        <f t="shared" si="17"/>
        <v>0</v>
      </c>
      <c r="AF85" s="1570"/>
      <c r="AG85" s="1571"/>
      <c r="AK85" s="1974"/>
      <c r="AL85" s="1975"/>
      <c r="AM85" s="1975"/>
      <c r="AN85" s="1975"/>
      <c r="AO85" s="1975"/>
      <c r="AP85" s="1975"/>
      <c r="AQ85" s="1975"/>
      <c r="GJ85" s="1341">
        <v>79</v>
      </c>
      <c r="GK85" s="1341" t="s">
        <v>2885</v>
      </c>
      <c r="GL85" s="1341" t="s">
        <v>2892</v>
      </c>
    </row>
    <row r="86" spans="2:194" ht="14.25" customHeight="1">
      <c r="F86" s="1319" t="str">
        <f>TEXT(F82,"#,00")&amp;" ETPR"</f>
        <v>4256,41 ETPR</v>
      </c>
      <c r="G86" s="1567" t="s">
        <v>2893</v>
      </c>
      <c r="H86" s="1572">
        <f>$H$85/'IND 1.7.1'!$C$47</f>
        <v>48.846153846153847</v>
      </c>
      <c r="I86" s="1572">
        <f>$I$85/'IND 1.7.1'!$D$47</f>
        <v>40.002780867630698</v>
      </c>
      <c r="J86" s="1572">
        <f>$J$85/'IND 1.7.1'!$E$47</f>
        <v>47.252090800477895</v>
      </c>
      <c r="K86" s="1572">
        <f>$K$85/('IND 1.7.1'!$C$47+'IND 1.7.1'!$D$47)</f>
        <v>47.45989537925022</v>
      </c>
      <c r="M86" s="1563" t="s">
        <v>708</v>
      </c>
      <c r="N86" s="1568">
        <f>('IND 1.1.2'!C90+'IND 1.2.2'!C91)/('IND 1.1.2'!K90+'IND 1.2.2'!K91)</f>
        <v>0.8571428571428571</v>
      </c>
      <c r="O86" s="1568">
        <f>1-N86</f>
        <v>0.1428571428571429</v>
      </c>
      <c r="P86" s="1568"/>
      <c r="X86" s="1521"/>
      <c r="Y86" s="1960"/>
      <c r="Z86" s="1986"/>
      <c r="AA86" s="1501"/>
      <c r="AB86" s="1990" t="s">
        <v>2894</v>
      </c>
      <c r="AC86" s="1990"/>
      <c r="AD86" s="1990"/>
      <c r="AE86" s="1569">
        <f t="shared" si="17"/>
        <v>0</v>
      </c>
      <c r="AF86" s="1501"/>
      <c r="AG86" s="1573"/>
      <c r="AK86" s="1974" t="s">
        <v>2895</v>
      </c>
      <c r="AL86" s="1975" t="str">
        <f>IF('IND 3.1.1-3.4.3'!$B$131+'IND 3.1.1-3.4.3'!$B$132=0," ",
IF('IND 3.1.1-3.4.3'!$B$131+'IND 3.1.1-3.4.3'!$B$132=1,"en 2020, "&amp;'IND 3.1.1-3.4.3'!$B$131+'IND 3.1.1-3.4.3'!$B$132&amp;" allocataire a bénéficié de l'indemnisation du chômage (ancien fonctionnaire)",
IF('IND 3.1.1-3.4.3'!$B$131+'IND 3.1.1-3.4.3'!$B$132&gt;1,"en 2020, "&amp;'IND 3.1.1-3.4.3'!$B$131+'IND 3.1.1-3.4.3'!$B$132&amp;" allocataires ont bénéficié de l'indemnisation du chômage (anciens fonctionnaires)")))</f>
        <v>en 2020, 16 allocataires ont bénéficié de l'indemnisation du chômage (anciens fonctionnaires)</v>
      </c>
      <c r="AM86" s="1975"/>
      <c r="AN86" s="1975"/>
      <c r="AO86" s="1975"/>
      <c r="AP86" s="1975"/>
      <c r="AQ86" s="1975"/>
      <c r="GJ86" s="1341">
        <v>86</v>
      </c>
      <c r="GK86" s="1341" t="s">
        <v>2885</v>
      </c>
      <c r="GL86" s="1341" t="s">
        <v>2896</v>
      </c>
    </row>
    <row r="87" spans="2:194">
      <c r="F87" s="1319" t="str">
        <f>TEXT(F83,"#,00")&amp;" ETPR"</f>
        <v>480,42 ETPR</v>
      </c>
      <c r="G87" s="1501"/>
      <c r="H87" s="1501"/>
      <c r="I87" s="1501"/>
      <c r="J87" s="1501"/>
      <c r="K87" s="1501"/>
      <c r="M87" s="1574"/>
      <c r="N87" s="1574"/>
      <c r="O87" s="1574"/>
      <c r="P87" s="1574"/>
      <c r="X87" s="1521"/>
      <c r="Y87" s="1960"/>
      <c r="Z87" s="1976" t="s">
        <v>2897</v>
      </c>
      <c r="AA87" s="1575">
        <f>IF(AE87=0,"",RANK(AE87,$AE$87:$AE$104,0)+COUNTIF($AE$87:AE87,AE87)-1)</f>
        <v>12</v>
      </c>
      <c r="AB87" s="1979" t="s">
        <v>2898</v>
      </c>
      <c r="AC87" s="1979"/>
      <c r="AD87" s="1979"/>
      <c r="AE87" s="1576">
        <f t="shared" si="17"/>
        <v>2.8328611898016999E-3</v>
      </c>
      <c r="AF87" s="1575">
        <f>'IND 1.5.0'!F23+'IND 1.5.0'!J23</f>
        <v>1</v>
      </c>
      <c r="AG87" s="1577">
        <f>'IND 1.5.0'!F52+'IND 1.5.0'!J52</f>
        <v>0</v>
      </c>
      <c r="AK87" s="1974"/>
      <c r="AL87" s="1975"/>
      <c r="AM87" s="1975"/>
      <c r="AN87" s="1975"/>
      <c r="AO87" s="1975"/>
      <c r="AP87" s="1975"/>
      <c r="AQ87" s="1975"/>
      <c r="GJ87" s="1341">
        <v>4</v>
      </c>
      <c r="GK87" s="1341" t="s">
        <v>2899</v>
      </c>
      <c r="GL87" s="1341" t="s">
        <v>2900</v>
      </c>
    </row>
    <row r="88" spans="2:194">
      <c r="F88" s="1319" t="str">
        <f>TEXT(F84,"#,00")&amp;" ETPR"</f>
        <v>469,34 ETPR</v>
      </c>
      <c r="G88" s="1501">
        <f>IF(O29&lt;&gt;"",O29,O31)</f>
        <v>48.846153846153847</v>
      </c>
      <c r="H88" s="1501"/>
      <c r="I88" s="1501"/>
      <c r="J88" s="1501"/>
      <c r="K88" s="1501"/>
      <c r="X88" s="1521"/>
      <c r="Y88" s="1960"/>
      <c r="Z88" s="1977"/>
      <c r="AA88" s="1578" t="str">
        <f>IF(AE88=0,"",RANK(AE88,$AE$87:$AE$104,0)+COUNTIF($AE$87:AE88,AE88)-1)</f>
        <v/>
      </c>
      <c r="AB88" s="1980" t="s">
        <v>2901</v>
      </c>
      <c r="AC88" s="1980"/>
      <c r="AD88" s="1980"/>
      <c r="AE88" s="1579">
        <f t="shared" si="17"/>
        <v>0</v>
      </c>
      <c r="AF88" s="1578">
        <f>'IND 1.5.0'!F24+'IND 1.5.0'!J24</f>
        <v>0</v>
      </c>
      <c r="AG88" s="1580">
        <f>'IND 1.5.0'!F53+'IND 1.5.0'!J53</f>
        <v>0</v>
      </c>
      <c r="AK88" s="1974"/>
      <c r="AL88" s="1975"/>
      <c r="AM88" s="1975"/>
      <c r="AN88" s="1975"/>
      <c r="AO88" s="1975"/>
      <c r="AP88" s="1975"/>
      <c r="AQ88" s="1975"/>
      <c r="GJ88" s="1341">
        <v>5</v>
      </c>
      <c r="GK88" s="1341" t="s">
        <v>2899</v>
      </c>
      <c r="GL88" s="1341" t="s">
        <v>2902</v>
      </c>
    </row>
    <row r="89" spans="2:194" ht="19.5" customHeight="1">
      <c r="X89" s="1521"/>
      <c r="Y89" s="1960"/>
      <c r="Z89" s="1977"/>
      <c r="AA89" s="1578">
        <f>IF(AE89=0,"",RANK(AE89,$AE$87:$AE$104,0)+COUNTIF($AE$87:AE89,AE89)-1)</f>
        <v>9</v>
      </c>
      <c r="AB89" s="1980" t="s">
        <v>2903</v>
      </c>
      <c r="AC89" s="1980"/>
      <c r="AD89" s="1980"/>
      <c r="AE89" s="1579">
        <f t="shared" si="17"/>
        <v>1.69971671388102E-2</v>
      </c>
      <c r="AF89" s="1578">
        <f>'IND 1.5.0'!F25+'IND 1.5.0'!J25</f>
        <v>6</v>
      </c>
      <c r="AG89" s="1571"/>
      <c r="AK89" s="1974"/>
      <c r="AL89" s="1975"/>
      <c r="AM89" s="1975"/>
      <c r="AN89" s="1975"/>
      <c r="AO89" s="1975"/>
      <c r="AP89" s="1975"/>
      <c r="AQ89" s="1975"/>
      <c r="BR89" s="1581" t="s">
        <v>2904</v>
      </c>
      <c r="BS89" s="1582"/>
      <c r="GJ89" s="1341">
        <v>6</v>
      </c>
      <c r="GK89" s="1341" t="s">
        <v>2899</v>
      </c>
      <c r="GL89" s="1341" t="s">
        <v>2905</v>
      </c>
    </row>
    <row r="90" spans="2:194">
      <c r="X90" s="1521"/>
      <c r="Y90" s="1960"/>
      <c r="Z90" s="1977"/>
      <c r="AA90" s="1578">
        <f>IF(AE90=0,"",RANK(AE90,$AE$87:$AE$104,0)+COUNTIF($AE$87:AE90,AE90)-1)</f>
        <v>5</v>
      </c>
      <c r="AB90" s="1980" t="s">
        <v>2906</v>
      </c>
      <c r="AC90" s="1980"/>
      <c r="AD90" s="1980"/>
      <c r="AE90" s="1579">
        <f t="shared" si="17"/>
        <v>7.3654390934844188E-2</v>
      </c>
      <c r="AF90" s="1578">
        <f>'IND 1.5.0'!F26+'IND 1.5.0'!J26</f>
        <v>26</v>
      </c>
      <c r="AG90" s="1571"/>
      <c r="BR90" s="1583" t="s">
        <v>714</v>
      </c>
      <c r="BS90" s="1584">
        <f>IF($D$69+$D$70=0, "  ",BS97/BS102)</f>
        <v>0.12043795620437957</v>
      </c>
      <c r="GJ90" s="1341">
        <v>13</v>
      </c>
      <c r="GK90" s="1341" t="s">
        <v>2899</v>
      </c>
      <c r="GL90" s="1341" t="s">
        <v>2907</v>
      </c>
    </row>
    <row r="91" spans="2:194">
      <c r="N91" s="1757"/>
      <c r="O91" s="2103"/>
      <c r="P91" s="2103"/>
      <c r="Q91" s="2103"/>
      <c r="R91" s="2103"/>
      <c r="S91" s="2103"/>
      <c r="X91" s="1521"/>
      <c r="Y91" s="1960"/>
      <c r="Z91" s="1977"/>
      <c r="AA91" s="1578">
        <f>IF(AE91=0,"",RANK(AE91,$AE$87:$AE$104,0)+COUNTIF($AE$87:AE91,AE91)-1)</f>
        <v>6</v>
      </c>
      <c r="AB91" s="1980" t="s">
        <v>2908</v>
      </c>
      <c r="AC91" s="1980"/>
      <c r="AD91" s="1980"/>
      <c r="AE91" s="1579">
        <f t="shared" si="17"/>
        <v>5.9490084985835696E-2</v>
      </c>
      <c r="AF91" s="1578">
        <f>'IND 1.5.0'!F29+'IND 1.5.0'!J29</f>
        <v>16</v>
      </c>
      <c r="AG91" s="1580">
        <f>'IND 1.5.0'!F54+'IND 1.5.0'!J54</f>
        <v>5</v>
      </c>
      <c r="BR91" s="1583" t="s">
        <v>715</v>
      </c>
      <c r="BS91" s="1584">
        <f>IF($D$69+$D$70=0, "  ",BS98/BS102)</f>
        <v>0.11887382690302398</v>
      </c>
      <c r="GJ91" s="1341">
        <v>83</v>
      </c>
      <c r="GK91" s="1341" t="s">
        <v>2899</v>
      </c>
      <c r="GL91" s="1341" t="s">
        <v>2909</v>
      </c>
    </row>
    <row r="92" spans="2:194" ht="45">
      <c r="N92" s="1758"/>
      <c r="O92" s="2103"/>
      <c r="P92" s="2103"/>
      <c r="Q92" s="2103"/>
      <c r="R92" s="2103"/>
      <c r="S92" s="2103"/>
      <c r="X92" s="1521"/>
      <c r="Y92" s="1961"/>
      <c r="Z92" s="1978"/>
      <c r="AA92" s="1585">
        <f>IF(AE92=0,"",RANK(AE92,$AE$87:$AE$104,0)+COUNTIF($AE$87:AE92,AE92)-1)</f>
        <v>8</v>
      </c>
      <c r="AB92" s="1981" t="s">
        <v>2910</v>
      </c>
      <c r="AC92" s="1981"/>
      <c r="AD92" s="1981"/>
      <c r="AE92" s="1586">
        <f t="shared" si="17"/>
        <v>1.9830028328611898E-2</v>
      </c>
      <c r="AF92" s="1585"/>
      <c r="AG92" s="1587">
        <f>'IND 1.5.0'!F55+'IND 1.5.0'!J55</f>
        <v>7</v>
      </c>
      <c r="BJ92" s="1588" t="s">
        <v>2911</v>
      </c>
      <c r="BK92" s="1588" t="s">
        <v>2912</v>
      </c>
      <c r="BL92" s="1588" t="s">
        <v>2913</v>
      </c>
      <c r="BR92" s="1589" t="s">
        <v>670</v>
      </c>
      <c r="BS92" s="1590">
        <f>IF($D$69+$D$70=0, "  ",BS99/BS102)</f>
        <v>0.76068821689259647</v>
      </c>
      <c r="GJ92" s="1341">
        <v>84</v>
      </c>
      <c r="GK92" s="1341" t="s">
        <v>2899</v>
      </c>
      <c r="GL92" s="1341" t="s">
        <v>2914</v>
      </c>
    </row>
    <row r="93" spans="2:194">
      <c r="N93" s="1758"/>
      <c r="O93" s="2103"/>
      <c r="P93" s="2103"/>
      <c r="Q93" s="2103"/>
      <c r="R93" s="2103"/>
      <c r="S93" s="2103"/>
      <c r="X93" s="1521"/>
      <c r="Y93" s="1959" t="s">
        <v>162</v>
      </c>
      <c r="Z93" s="1591"/>
      <c r="AA93" s="1575">
        <f>IF(AE93=0,"",RANK(AE93,$AE$87:$AE$104,0)+COUNTIF($AE$87:AE93,AE93)-1)</f>
        <v>2</v>
      </c>
      <c r="AB93" s="1592" t="s">
        <v>2915</v>
      </c>
      <c r="AC93" s="1593"/>
      <c r="AD93" s="1593"/>
      <c r="AE93" s="1594">
        <f t="shared" si="17"/>
        <v>0.12181303116147309</v>
      </c>
      <c r="AF93" s="1575">
        <f>'IND 1.5.0'!F30+'IND 1.5.0'!J30</f>
        <v>43</v>
      </c>
      <c r="AG93" s="1595"/>
      <c r="GJ93" s="1341">
        <v>1</v>
      </c>
      <c r="GK93" s="1341" t="s">
        <v>2916</v>
      </c>
      <c r="GL93" s="1341" t="s">
        <v>2917</v>
      </c>
    </row>
    <row r="94" spans="2:194">
      <c r="N94" s="1754"/>
      <c r="O94" s="2086"/>
      <c r="P94" s="2086"/>
      <c r="Q94" s="2086"/>
      <c r="R94" s="2086"/>
      <c r="S94" s="2086"/>
      <c r="X94" s="1521"/>
      <c r="Y94" s="1960"/>
      <c r="Z94" s="1596"/>
      <c r="AA94" s="1578">
        <f>IF(AE94=0,"",RANK(AE94,$AE$87:$AE$104,0)+COUNTIF($AE$87:AE94,AE94)-1)</f>
        <v>13</v>
      </c>
      <c r="AB94" s="1597" t="s">
        <v>2918</v>
      </c>
      <c r="AC94" s="1598"/>
      <c r="AD94" s="1598"/>
      <c r="AE94" s="1599">
        <f t="shared" si="17"/>
        <v>2.8328611898016999E-3</v>
      </c>
      <c r="AF94" s="1578">
        <f>'IND 1.5.0'!F31+'IND 1.5.0'!J31</f>
        <v>1</v>
      </c>
      <c r="AG94" s="1600"/>
      <c r="GJ94" s="1341">
        <v>7</v>
      </c>
      <c r="GK94" s="1341" t="s">
        <v>2916</v>
      </c>
      <c r="GL94" s="1341" t="s">
        <v>2919</v>
      </c>
    </row>
    <row r="95" spans="2:194">
      <c r="N95" s="1754"/>
      <c r="O95" s="2086"/>
      <c r="P95" s="2086"/>
      <c r="Q95" s="2086"/>
      <c r="R95" s="2086"/>
      <c r="S95" s="2086"/>
      <c r="X95" s="1521"/>
      <c r="Y95" s="1960"/>
      <c r="Z95" s="1596"/>
      <c r="AA95" s="1578" t="str">
        <f>IF(AE95=0,"",RANK(AE95,$AE$87:$AE$104,0)+COUNTIF($AE$87:AE95,AE95)-1)</f>
        <v/>
      </c>
      <c r="AB95" s="1597" t="s">
        <v>2920</v>
      </c>
      <c r="AC95" s="1598"/>
      <c r="AD95" s="1598"/>
      <c r="AE95" s="1599">
        <f t="shared" si="17"/>
        <v>0</v>
      </c>
      <c r="AF95" s="1578">
        <f>'IND 1.5.0'!F32+'IND 1.5.0'!J32</f>
        <v>0</v>
      </c>
      <c r="AG95" s="1600"/>
      <c r="BQ95" s="1601"/>
      <c r="BR95" s="1602" t="s">
        <v>2921</v>
      </c>
      <c r="BS95" s="1603"/>
      <c r="GJ95" s="1341">
        <v>26</v>
      </c>
      <c r="GK95" s="1341" t="s">
        <v>2916</v>
      </c>
      <c r="GL95" s="1341" t="s">
        <v>2922</v>
      </c>
    </row>
    <row r="96" spans="2:194" ht="14.45" customHeight="1">
      <c r="N96" s="1754"/>
      <c r="O96" s="2086"/>
      <c r="P96" s="2086"/>
      <c r="Q96" s="2086"/>
      <c r="R96" s="2086"/>
      <c r="S96" s="2086"/>
      <c r="X96" s="1521"/>
      <c r="Y96" s="1960"/>
      <c r="Z96" s="1596"/>
      <c r="AA96" s="1578" t="str">
        <f>IF(AE96=0,"",RANK(AE96,$AE$87:$AE$104,0)+COUNTIF($AE$87:AE96,AE96)-1)</f>
        <v/>
      </c>
      <c r="AB96" s="1597" t="s">
        <v>2923</v>
      </c>
      <c r="AC96" s="1598"/>
      <c r="AD96" s="1598"/>
      <c r="AE96" s="1599">
        <f t="shared" si="17"/>
        <v>0</v>
      </c>
      <c r="AF96" s="1578">
        <f>'IND 1.5.0'!F33+'IND 1.5.0'!J33</f>
        <v>0</v>
      </c>
      <c r="AG96" s="1600"/>
      <c r="BJ96" s="1962" t="s">
        <v>2924</v>
      </c>
      <c r="BK96" s="1963"/>
      <c r="BL96" s="1964"/>
      <c r="BQ96" s="1604"/>
      <c r="BR96" s="1605" t="s">
        <v>2804</v>
      </c>
      <c r="BS96" s="1606"/>
      <c r="GJ96" s="1341">
        <v>38</v>
      </c>
      <c r="GK96" s="1341" t="s">
        <v>2916</v>
      </c>
      <c r="GL96" s="1341" t="s">
        <v>2925</v>
      </c>
    </row>
    <row r="97" spans="13:194">
      <c r="N97" s="1754"/>
      <c r="O97" s="1756"/>
      <c r="P97" s="1756"/>
      <c r="Q97" s="1756"/>
      <c r="R97" s="1756"/>
      <c r="S97" s="1756"/>
      <c r="T97" s="1359"/>
      <c r="X97" s="1521"/>
      <c r="Y97" s="1960"/>
      <c r="Z97" s="1596"/>
      <c r="AA97" s="1578">
        <f>IF(AE97=0,"",RANK(AE97,$AE$87:$AE$104,0)+COUNTIF($AE$87:AE97,AE97)-1)</f>
        <v>3</v>
      </c>
      <c r="AB97" s="1597" t="s">
        <v>2926</v>
      </c>
      <c r="AC97" s="1598"/>
      <c r="AD97" s="1598"/>
      <c r="AE97" s="1599">
        <f t="shared" si="17"/>
        <v>0.11898016997167139</v>
      </c>
      <c r="AF97" s="1578">
        <f>'IND 1.5.0'!F34+'IND 1.5.0'!J34</f>
        <v>7</v>
      </c>
      <c r="AG97" s="1580">
        <f>'IND 1.5.0'!F56+'IND 1.5.0'!J56</f>
        <v>35</v>
      </c>
      <c r="BJ97" s="1965"/>
      <c r="BK97" s="1966"/>
      <c r="BL97" s="1967"/>
      <c r="BQ97" s="1604" t="s">
        <v>714</v>
      </c>
      <c r="BR97" s="1607"/>
      <c r="BS97" s="1608">
        <f>IF($D$69+$D$70=0,0,('IND 5.1.1'!$F$35+'IND 5.1.1'!$F$69))</f>
        <v>462</v>
      </c>
      <c r="GJ97" s="1341">
        <v>42</v>
      </c>
      <c r="GK97" s="1341" t="s">
        <v>2916</v>
      </c>
      <c r="GL97" s="1341" t="s">
        <v>2927</v>
      </c>
    </row>
    <row r="98" spans="13:194">
      <c r="T98" s="1359"/>
      <c r="X98" s="1521"/>
      <c r="Y98" s="1960"/>
      <c r="Z98" s="1596"/>
      <c r="AA98" s="1609">
        <f>IF(AE98=0,"",RANK(AE98,$AE$87:$AE$104,0)+COUNTIF($AE$87:AE98,AE98)-1)</f>
        <v>4</v>
      </c>
      <c r="AB98" s="1610" t="s">
        <v>2928</v>
      </c>
      <c r="AC98" s="1610"/>
      <c r="AD98" s="1610"/>
      <c r="AE98" s="1611">
        <f t="shared" si="17"/>
        <v>9.9150141643059492E-2</v>
      </c>
      <c r="AF98" s="1609"/>
      <c r="AG98" s="1580">
        <f>IF('IND 1.5.0'!F57=0,'IND 1.5.0'!F58,'IND 1.5.0'!F57)+IF('IND 1.5.0'!J57=0,'IND 1.5.0'!J58,'IND 1.5.0'!J57)</f>
        <v>35</v>
      </c>
      <c r="BJ98" s="1513"/>
      <c r="BK98" s="1612" t="s">
        <v>1513</v>
      </c>
      <c r="BL98" s="1526" t="s">
        <v>2251</v>
      </c>
      <c r="BQ98" s="1604" t="s">
        <v>715</v>
      </c>
      <c r="BR98" s="1607"/>
      <c r="BS98" s="1608">
        <f>IF($D$69+$D$70=0,0,('IND 5.1.1'!$F$43+'IND 5.1.1'!$F$77))</f>
        <v>456</v>
      </c>
      <c r="GJ98" s="1341">
        <v>69</v>
      </c>
      <c r="GK98" s="1341" t="s">
        <v>2916</v>
      </c>
      <c r="GL98" s="1341" t="s">
        <v>2929</v>
      </c>
    </row>
    <row r="99" spans="13:194">
      <c r="T99" s="1359"/>
      <c r="X99" s="1521"/>
      <c r="Y99" s="1960"/>
      <c r="Z99" s="1596"/>
      <c r="AA99" s="1609" t="str">
        <f>IF(AE99=0,"",RANK(AE99,$AE$87:$AE$104,0)+COUNTIF($AE$87:AE99,AE99)-1)</f>
        <v/>
      </c>
      <c r="AB99" s="1613"/>
      <c r="AC99" s="1501"/>
      <c r="AD99" s="1501"/>
      <c r="AE99" s="1614"/>
      <c r="AF99" s="1609"/>
      <c r="AG99" s="1600"/>
      <c r="BJ99" s="1513" t="s">
        <v>714</v>
      </c>
      <c r="BK99" s="1615">
        <f>IF($D$69=0," ",IF(('IND 5.1.1'!$B$12+'IND 5.1.1'!$C$12)/SUMIF(GW2:GW60,"A",GY2:GY60)&gt;100%,100%,('IND 5.1.1'!$B$12+'IND 5.1.1'!$C$12)/SUMIF(GW2:GW60,"A",GY2:GY60)))</f>
        <v>0.64102564102564108</v>
      </c>
      <c r="BL99" s="1616">
        <f>IF($D$70=0," ",IF(('IND 5.1.1'!$D$12+'IND 5.1.1'!$E$12)/SUMIF(GW2:GW60,"A",GZ2:GZ60)&gt;100%,100%,('IND 5.1.1'!$D$12+'IND 5.1.1'!$E$12)/SUMIF(GW2:GW60,"A",GZ2:GZ60)))</f>
        <v>0.63366336633663367</v>
      </c>
      <c r="BM99" s="1617"/>
      <c r="BN99" s="1617"/>
      <c r="BO99" s="1617"/>
      <c r="BP99" s="1617"/>
      <c r="BQ99" s="1604" t="s">
        <v>670</v>
      </c>
      <c r="BR99" s="1607"/>
      <c r="BS99" s="1608">
        <f>IF($D$69+$D$70=0,0,('IND 5.1.1'!$F$51+'IND 5.1.1'!$F$85))</f>
        <v>2918</v>
      </c>
      <c r="GJ99" s="1341">
        <v>73</v>
      </c>
      <c r="GK99" s="1341" t="s">
        <v>2916</v>
      </c>
      <c r="GL99" s="1341" t="s">
        <v>2930</v>
      </c>
    </row>
    <row r="100" spans="13:194" ht="15" customHeight="1">
      <c r="R100" s="1359"/>
      <c r="S100" s="1359"/>
      <c r="T100" s="1359"/>
      <c r="X100" s="1521"/>
      <c r="Y100" s="1960"/>
      <c r="Z100" s="1596"/>
      <c r="AA100" s="1578">
        <f>IF(AE100=0,"",RANK(AE100,$AE$87:$AE$104,0)+COUNTIF($AE$87:AE100,AE100)-1)</f>
        <v>1</v>
      </c>
      <c r="AB100" s="1598" t="s">
        <v>2931</v>
      </c>
      <c r="AC100" s="1598"/>
      <c r="AD100" s="1598"/>
      <c r="AE100" s="1599">
        <f>IF($D$69+$D$70&gt;0,(AF100+AG100)/($AF$105+$AG$105),"")</f>
        <v>0.41643059490084988</v>
      </c>
      <c r="AF100" s="1578">
        <f>'IND 1.5.0'!F35+'IND 1.5.0'!J35</f>
        <v>141</v>
      </c>
      <c r="AG100" s="1580">
        <f>'IND 1.5.0'!F59+'IND 1.5.0'!J59</f>
        <v>6</v>
      </c>
      <c r="BJ100" s="1513" t="s">
        <v>715</v>
      </c>
      <c r="BK100" s="1615">
        <f>IF($D$69=0," ",IF(('IND 5.1.1'!$B$13+'IND 5.1.1'!$C$13)/SUMIF(GW2:GW60,"B",GY2:GY60)&gt;100%,100%,('IND 5.1.1'!$B$13+'IND 5.1.1'!$C$13)/SUMIF(GW2:GW60,"B",GY2:GY60)))</f>
        <v>0.65196078431372551</v>
      </c>
      <c r="BL100" s="1616">
        <f>IF($D$70=0," ",IF(('IND 5.1.1'!$D$13+'IND 5.1.1'!$E$13)/SUMIF(GW2:GW60,"B",GZ2:GZ60)&gt;100%,100%,('IND 5.1.1'!$D$13+'IND 5.1.1'!$E$13)/SUMIF(GW2:GW60,"B",GZ2:GZ60)))</f>
        <v>0.29599999999999999</v>
      </c>
      <c r="BM100" s="1617"/>
      <c r="BN100" s="1617"/>
      <c r="BO100" s="1617"/>
      <c r="BP100" s="1617"/>
      <c r="BQ100" s="1968" t="s">
        <v>2932</v>
      </c>
      <c r="BR100" s="1969"/>
      <c r="BS100" s="1608">
        <f>SUM(BS97:BS99)</f>
        <v>3836</v>
      </c>
      <c r="GJ100" s="1341">
        <v>74</v>
      </c>
      <c r="GK100" s="1341" t="s">
        <v>2916</v>
      </c>
      <c r="GL100" s="1341" t="s">
        <v>2933</v>
      </c>
    </row>
    <row r="101" spans="13:194">
      <c r="M101" s="1359"/>
      <c r="N101" s="1359"/>
      <c r="O101" s="1359"/>
      <c r="P101" s="1359"/>
      <c r="Q101" s="1359"/>
      <c r="R101" s="1359"/>
      <c r="S101" s="1359"/>
      <c r="T101" s="1359"/>
      <c r="X101" s="1521"/>
      <c r="Y101" s="1960"/>
      <c r="Z101" s="1596"/>
      <c r="AA101" s="1578">
        <f>IF(AE101=0,"",RANK(AE101,$AE$87:$AE$104,0)+COUNTIF($AE$87:AE101,AE101)-1)</f>
        <v>11</v>
      </c>
      <c r="AB101" s="1598" t="s">
        <v>217</v>
      </c>
      <c r="AC101" s="1598"/>
      <c r="AD101" s="1598"/>
      <c r="AE101" s="1599">
        <f>IF($D$69+$D$70&gt;0,(AF101+AG101)/($AF$105+$AG$105),"")</f>
        <v>1.4164305949008499E-2</v>
      </c>
      <c r="AF101" s="1578">
        <f>'IND 1.5.0'!F36+'IND 1.5.0'!J36</f>
        <v>3</v>
      </c>
      <c r="AG101" s="1580">
        <f>'IND 1.5.0'!F60+'IND 1.5.0'!J60</f>
        <v>2</v>
      </c>
      <c r="BJ101" s="1513" t="s">
        <v>670</v>
      </c>
      <c r="BK101" s="1615">
        <f>IF($D$69=0," ",IF(('IND 5.1.1'!$B$14+'IND 5.1.1'!$C$14)/SUMIF(GW2:GW60,"c",GY2:GY60)&gt;100%,100%,('IND 5.1.1'!$B$14+'IND 5.1.1'!$C$14)/SUMIF(GW2:GW60,"c",GY2:GY60)))</f>
        <v>0.41233283803863297</v>
      </c>
      <c r="BL101" s="1616">
        <f>IF($D$70=0," ",IF(('IND 5.1.1'!$D$14+'IND 5.1.1'!$E$14)/SUMIF(GW2:GW60,"C",GZ2:GZ60)&gt;100%,100%,('IND 5.1.1'!$D$14+'IND 5.1.1'!$E$14)/SUMIF(GW2:GW60,"C",GZ2:GZ60)))</f>
        <v>0.30609212481426451</v>
      </c>
      <c r="BQ101" s="1968"/>
      <c r="BR101" s="1969"/>
      <c r="BS101" s="1608"/>
      <c r="GJ101" s="1341">
        <v>971</v>
      </c>
      <c r="GK101" s="1341" t="s">
        <v>2934</v>
      </c>
      <c r="GL101" s="1341" t="s">
        <v>2935</v>
      </c>
    </row>
    <row r="102" spans="13:194" ht="15.75" thickBot="1">
      <c r="M102" s="1896" t="s">
        <v>986</v>
      </c>
      <c r="N102" s="1896"/>
      <c r="O102" s="1896"/>
      <c r="P102" s="1896"/>
      <c r="Q102" s="1618"/>
      <c r="R102" s="1619"/>
      <c r="S102" s="1619"/>
      <c r="Y102" s="1960"/>
      <c r="Z102" s="1596"/>
      <c r="AA102" s="1578">
        <f>IF(AE102=0,"",RANK(AE102,$AE$87:$AE$104,0)+COUNTIF($AE$87:AE102,AE102)-1)</f>
        <v>7</v>
      </c>
      <c r="AB102" s="1598" t="s">
        <v>2936</v>
      </c>
      <c r="AC102" s="1598"/>
      <c r="AD102" s="1598"/>
      <c r="AE102" s="1599">
        <f>IF($D$69+$D$70&gt;0,(AF102+AG102)/($AF$105+$AG$105),"")</f>
        <v>3.6827195467422094E-2</v>
      </c>
      <c r="AF102" s="1578">
        <f>'IND 1.5.0'!F37+'IND 1.5.0'!J37</f>
        <v>11</v>
      </c>
      <c r="AG102" s="1580">
        <f>'IND 1.5.0'!F61+'IND 1.5.0'!J61</f>
        <v>2</v>
      </c>
      <c r="BJ102" s="1620" t="s">
        <v>768</v>
      </c>
      <c r="BK102" s="1615">
        <f>IF((D69+D70)=0,"",'IND 5.1.1'!$F$15/(D69+D70))</f>
        <v>0.43382737576285962</v>
      </c>
      <c r="BL102" s="1621"/>
      <c r="BQ102" s="1970" t="s">
        <v>2937</v>
      </c>
      <c r="BR102" s="1971"/>
      <c r="BS102" s="1622">
        <f>('IND 5.1.1'!$F$55+'IND 5.1.1'!$F$89)</f>
        <v>3836</v>
      </c>
      <c r="GJ102" s="1341">
        <v>972</v>
      </c>
      <c r="GK102" s="1341" t="s">
        <v>2938</v>
      </c>
      <c r="GL102" s="1341" t="s">
        <v>2939</v>
      </c>
    </row>
    <row r="103" spans="13:194">
      <c r="M103" s="1619"/>
      <c r="N103" s="1192">
        <v>1</v>
      </c>
      <c r="O103" s="1192">
        <v>2</v>
      </c>
      <c r="P103" s="1192">
        <v>0</v>
      </c>
      <c r="Q103" s="1192" t="s">
        <v>1307</v>
      </c>
      <c r="R103" s="1619"/>
      <c r="S103" s="1619"/>
      <c r="X103" s="1521"/>
      <c r="Y103" s="1960"/>
      <c r="Z103" s="1596"/>
      <c r="AA103" s="1578">
        <f>IF(AE103=0,"",RANK(AE103,$AE$87:$AE$104,0)+COUNTIF($AE$87:AE103,AE103)-1)</f>
        <v>10</v>
      </c>
      <c r="AB103" s="1598" t="s">
        <v>1138</v>
      </c>
      <c r="AC103" s="1598"/>
      <c r="AD103" s="1598"/>
      <c r="AE103" s="1599">
        <f>IF($D$69+$D$70&gt;0,(AF103+AG103)/($AF$105+$AG$105),"")</f>
        <v>1.69971671388102E-2</v>
      </c>
      <c r="AF103" s="1578">
        <f>'IND 1.5.0'!F40+'IND 1.5.0'!J40</f>
        <v>4</v>
      </c>
      <c r="AG103" s="1580">
        <f>'IND 1.5.0'!F64+'IND 1.5.0'!J64</f>
        <v>2</v>
      </c>
      <c r="GJ103" s="1341">
        <v>973</v>
      </c>
      <c r="GK103" s="1341" t="s">
        <v>2940</v>
      </c>
      <c r="GL103" s="1341" t="s">
        <v>2941</v>
      </c>
    </row>
    <row r="104" spans="13:194">
      <c r="M104" s="1623" t="s">
        <v>2355</v>
      </c>
      <c r="N104" s="1624" t="s">
        <v>707</v>
      </c>
      <c r="O104" s="1624" t="s">
        <v>708</v>
      </c>
      <c r="P104" s="1625" t="s">
        <v>768</v>
      </c>
      <c r="Q104" s="1626" t="s">
        <v>987</v>
      </c>
      <c r="R104" s="1619"/>
      <c r="S104" s="1619"/>
      <c r="T104" s="1319" t="s">
        <v>2942</v>
      </c>
      <c r="X104" s="1521"/>
      <c r="Y104" s="1961"/>
      <c r="Z104" s="1627"/>
      <c r="AA104" s="1628" t="str">
        <f>IF(AE104=0,"",RANK(AE104,$AE$87:$AE$104,0)+COUNTIF($AE$87:AE104,AE104)-1)</f>
        <v/>
      </c>
      <c r="AB104" s="1629" t="s">
        <v>2036</v>
      </c>
      <c r="AC104" s="1629"/>
      <c r="AD104" s="1629"/>
      <c r="AE104" s="1630">
        <f>IF($D$69+$D$70&gt;0,(AF104+AG104)/($AF$105+$AG$105),"")</f>
        <v>0</v>
      </c>
      <c r="AF104" s="1628">
        <f>'IND 1.5.0'!F38+'IND 1.5.0'!J38</f>
        <v>0</v>
      </c>
      <c r="AG104" s="1587">
        <f>'IND 1.5.0'!F62+'IND 1.5.0'!J62</f>
        <v>0</v>
      </c>
      <c r="BJ104" s="1631" t="s">
        <v>2943</v>
      </c>
      <c r="GJ104" s="1341">
        <v>974</v>
      </c>
      <c r="GK104" s="1341" t="s">
        <v>2944</v>
      </c>
      <c r="GL104" s="1341" t="s">
        <v>2945</v>
      </c>
    </row>
    <row r="105" spans="13:194">
      <c r="M105" s="1632" t="s">
        <v>1047</v>
      </c>
      <c r="N105" s="1633"/>
      <c r="O105" s="1633"/>
      <c r="P105" s="1634"/>
      <c r="Q105" s="1192">
        <v>10</v>
      </c>
      <c r="R105" s="1619"/>
      <c r="S105" s="1619"/>
      <c r="T105" s="1319">
        <v>3</v>
      </c>
      <c r="U105" s="1319" t="str">
        <f>IF(SUM('IND 1.4.1-1.4.4'!$B$10:$C$10)=0,"",IF(SUM('IND 1.4.1-1.4.4'!$B$10:$C$10)=1,"&gt; Un agent en congés parental"&amp;CHAR(10),"&gt; "&amp;SUM('IND 1.4.1-1.4.4'!$B$10:$C$10)&amp;" agents en congés parental"&amp;CHAR(10)))</f>
        <v xml:space="preserve">&gt; 37 agents en congés parental
</v>
      </c>
      <c r="X105" s="1521"/>
      <c r="Y105" s="1635"/>
      <c r="Z105" s="1636"/>
      <c r="AA105" s="1636"/>
      <c r="AB105" s="1637" t="s">
        <v>2946</v>
      </c>
      <c r="AC105" s="1636"/>
      <c r="AD105" s="1636"/>
      <c r="AE105" s="1638"/>
      <c r="AF105" s="1639">
        <f>SUM(AF86:AF104)</f>
        <v>259</v>
      </c>
      <c r="AG105" s="1640">
        <f>SUM(AG86:AG104)</f>
        <v>94</v>
      </c>
      <c r="AH105" s="1488"/>
      <c r="GJ105" s="1341">
        <v>976</v>
      </c>
      <c r="GK105" s="1341" t="s">
        <v>2947</v>
      </c>
      <c r="GL105" s="1341" t="s">
        <v>2948</v>
      </c>
    </row>
    <row r="106" spans="13:194">
      <c r="M106" s="1641" t="s">
        <v>800</v>
      </c>
      <c r="N106" s="1633"/>
      <c r="O106" s="1633"/>
      <c r="P106" s="1634"/>
      <c r="Q106" s="1192">
        <v>20</v>
      </c>
      <c r="R106" s="1619"/>
      <c r="S106" s="1619"/>
      <c r="T106" s="1319">
        <v>4</v>
      </c>
      <c r="U106" s="1319" t="str">
        <f>IF(SUM('IND 1.4.1-1.4.4'!$B$11:$C$11)=0,"",IF(SUM('IND 1.4.1-1.4.4'!$B$11:$C$11)=1,"&gt; Un agent en disponibilité"&amp;CHAR(10),"&gt; "&amp;SUM('IND 1.4.1-1.4.4'!$B$11:$C$11)&amp;" agents en disponibilité"&amp;CHAR(10)))</f>
        <v xml:space="preserve">&gt; 191 agents en disponibilité
</v>
      </c>
      <c r="X106" s="1521"/>
      <c r="BQ106" s="1507"/>
      <c r="BR106" s="1508" t="s">
        <v>2949</v>
      </c>
      <c r="BS106" s="1508"/>
      <c r="BT106" s="1509"/>
      <c r="GJ106" s="1341"/>
    </row>
    <row r="107" spans="13:194" ht="15" customHeight="1">
      <c r="M107" s="1642" t="s">
        <v>1171</v>
      </c>
      <c r="N107" s="1643"/>
      <c r="O107" s="1643"/>
      <c r="P107" s="1644">
        <f t="shared" ref="P107:P110" si="18">N107+O107</f>
        <v>0</v>
      </c>
      <c r="Q107" s="1192">
        <v>21</v>
      </c>
      <c r="R107" s="1619"/>
      <c r="S107" s="1619"/>
      <c r="X107" s="1521"/>
      <c r="AB107" s="1645" t="s">
        <v>2950</v>
      </c>
      <c r="AC107" s="1646">
        <v>3</v>
      </c>
      <c r="AD107" s="1319" t="s">
        <v>2951</v>
      </c>
      <c r="BK107" s="1647"/>
      <c r="BL107" s="1648" t="s">
        <v>2952</v>
      </c>
      <c r="BM107" s="1649"/>
      <c r="BQ107" s="1513" t="s">
        <v>733</v>
      </c>
      <c r="BR107" s="1612"/>
      <c r="BS107" s="1650">
        <f>IF(BS102=0,"",('IND 5.1.1'!$B$55+'IND 5.1.1'!$C$55+'IND 5.1.1'!$B$89+'IND 5.1.1'!$C$89)/('IND 5.1.1'!$F$55+'IND 5.1.1'!$F$89))</f>
        <v>0.45698644421272161</v>
      </c>
      <c r="BT107" s="1651"/>
      <c r="GJ107" s="1341"/>
    </row>
    <row r="108" spans="13:194" ht="30">
      <c r="M108" s="1652" t="s">
        <v>801</v>
      </c>
      <c r="N108" s="1633"/>
      <c r="O108" s="1633"/>
      <c r="P108" s="1634">
        <f t="shared" si="18"/>
        <v>0</v>
      </c>
      <c r="Q108" s="1192">
        <v>22</v>
      </c>
      <c r="R108" s="1619"/>
      <c r="S108" s="1619"/>
      <c r="T108" s="1319">
        <v>8</v>
      </c>
      <c r="U108" s="1319" t="str">
        <f>IF(SUM('IND 1.4.1-1.4.4'!$B$13:$C$15)=0,"",IF(SUM('IND 1.4.1-1.4.4'!$B$13:$C$15)=1,"&gt; Un agent dans une autre situation (disponibilité d'office, congés spécial ou hors cadre)"&amp;CHAR(10),"&gt; "&amp;SUM(SUM('IND 1.4.1-1.4.4'!$B$13:$C$15))&amp;" agents dans d'autres situations (disponibilité d'office, congés spécial et hors cadre)"&amp;CHAR(10)))</f>
        <v xml:space="preserve">&gt; 45 agents dans d'autres situations (disponibilité d'office, congés spécial et hors cadre)
</v>
      </c>
      <c r="X108" s="1521"/>
      <c r="AB108" s="1653" t="s">
        <v>2950</v>
      </c>
      <c r="AC108" s="1654">
        <v>4</v>
      </c>
      <c r="AD108" s="1319" t="s">
        <v>2953</v>
      </c>
      <c r="AH108" s="1655"/>
      <c r="BK108" s="1656" t="s">
        <v>733</v>
      </c>
      <c r="BL108" s="1514"/>
      <c r="BM108" s="1657">
        <f>'IND 5.1.4'!$C$11+'IND 5.1.4'!$C$12</f>
        <v>1056639</v>
      </c>
      <c r="BQ108" s="1513" t="s">
        <v>424</v>
      </c>
      <c r="BR108" s="1612"/>
      <c r="BS108" s="1972">
        <f>IF(BS102=0,"",('IND 5.1.1'!$E$55+'IND 5.1.1'!$E$89)/('IND 5.1.1'!$F$55+'IND 5.1.1'!$F$89))</f>
        <v>0.2275808133472367</v>
      </c>
      <c r="BT108" s="1973"/>
      <c r="GJ108" s="1341"/>
    </row>
    <row r="109" spans="13:194">
      <c r="M109" s="1652" t="s">
        <v>802</v>
      </c>
      <c r="N109" s="1633"/>
      <c r="O109" s="1633"/>
      <c r="P109" s="1634">
        <f t="shared" si="18"/>
        <v>0</v>
      </c>
      <c r="Q109" s="1192">
        <v>79</v>
      </c>
      <c r="R109" s="1619"/>
      <c r="S109" s="1619"/>
      <c r="X109" s="1521"/>
      <c r="AH109" s="1392"/>
      <c r="BK109" s="1513" t="s">
        <v>424</v>
      </c>
      <c r="BL109" s="1514"/>
      <c r="BM109" s="1657">
        <f>'IND 5.1.4'!$C$13</f>
        <v>4995</v>
      </c>
      <c r="BQ109" s="1620" t="s">
        <v>2954</v>
      </c>
      <c r="BR109" s="1658"/>
      <c r="BS109" s="1948">
        <f>IF(BS102=0,"",('IND 5.1.1'!$D$55+'IND 5.1.1'!$D$89)/('IND 5.1.1'!$F$55+'IND 5.1.1'!$F$89))</f>
        <v>0.31543274244004171</v>
      </c>
      <c r="BT109" s="1949"/>
    </row>
    <row r="110" spans="13:194" ht="15" customHeight="1">
      <c r="M110" s="1659" t="s">
        <v>803</v>
      </c>
      <c r="N110" s="1633"/>
      <c r="O110" s="1633"/>
      <c r="P110" s="1634">
        <f t="shared" si="18"/>
        <v>0</v>
      </c>
      <c r="Q110" s="1192">
        <v>80</v>
      </c>
      <c r="R110" s="1619"/>
      <c r="S110" s="1619"/>
      <c r="X110" s="1521"/>
      <c r="Y110" s="1931" t="s">
        <v>2955</v>
      </c>
      <c r="Z110" s="1950" t="s">
        <v>2956</v>
      </c>
      <c r="AA110" s="1951"/>
      <c r="AB110" s="1951"/>
      <c r="AC110" s="1951"/>
      <c r="AD110" s="1951"/>
      <c r="AE110" s="1951"/>
      <c r="AF110" s="1952"/>
      <c r="AG110" s="1660">
        <f>'IND 1.5.4-1.5.5'!B17+'IND 1.5.4-1.5.5'!C17</f>
        <v>123</v>
      </c>
      <c r="AH110" s="1392"/>
      <c r="BK110" s="1513" t="s">
        <v>734</v>
      </c>
      <c r="BL110" s="1514"/>
      <c r="BM110" s="1657">
        <f>'IND 5.1.4'!$C$14</f>
        <v>0</v>
      </c>
    </row>
    <row r="111" spans="13:194">
      <c r="M111" s="1619"/>
      <c r="N111" s="1619"/>
      <c r="O111" s="1619"/>
      <c r="P111" s="1619"/>
      <c r="Q111" s="1619"/>
      <c r="R111" s="1619"/>
      <c r="S111" s="1619"/>
      <c r="X111" s="1521"/>
      <c r="Y111" s="1935"/>
      <c r="Z111" s="1953" t="s">
        <v>2957</v>
      </c>
      <c r="AA111" s="1954"/>
      <c r="AB111" s="1954"/>
      <c r="AC111" s="1954"/>
      <c r="AD111" s="1954"/>
      <c r="AE111" s="1954"/>
      <c r="AF111" s="1955"/>
      <c r="AG111" s="1661">
        <f>'IND 1.5.4-1.5.5'!B18+'IND 1.5.4-1.5.5'!C18</f>
        <v>0</v>
      </c>
      <c r="BK111" s="1956" t="s">
        <v>2958</v>
      </c>
      <c r="BL111" s="1957"/>
      <c r="BM111" s="1662">
        <f>SUM(BM108:BM110)</f>
        <v>1061634</v>
      </c>
    </row>
    <row r="112" spans="13:194">
      <c r="M112" s="1663" t="s">
        <v>1671</v>
      </c>
      <c r="N112" s="1664" t="s">
        <v>707</v>
      </c>
      <c r="O112" s="1664" t="s">
        <v>708</v>
      </c>
      <c r="P112" s="1624" t="s">
        <v>768</v>
      </c>
      <c r="Q112" s="1619"/>
      <c r="R112" s="1619"/>
      <c r="S112" s="1619"/>
      <c r="T112" s="1319">
        <v>7</v>
      </c>
      <c r="U112" s="1319" t="str">
        <f>IF(SUM('IND 1.4.1-1.4.4'!$B$18:$C$21)=0,"",IF(SUM('IND 1.4.1-1.4.4'!$B$18:$C$21)=1,"&gt; Un agent détaché dans une autre structure"&amp;CHAR(10),"&gt; "&amp;SUM('IND 1.4.1-1.4.4'!$B$18:$C$21)&amp;" agents détachés dans une autre structure"&amp;CHAR(10)))</f>
        <v xml:space="preserve">&gt; 10 agents détachés dans une autre structure
</v>
      </c>
      <c r="X112" s="1521"/>
    </row>
    <row r="113" spans="13:65">
      <c r="M113" s="1665" t="s">
        <v>1672</v>
      </c>
      <c r="N113" s="1666"/>
      <c r="O113" s="1666"/>
      <c r="P113" s="1634">
        <f>N113+O113</f>
        <v>0</v>
      </c>
      <c r="Q113" s="1192">
        <v>41</v>
      </c>
      <c r="R113" s="1619"/>
      <c r="S113" s="1619"/>
      <c r="X113" s="1521"/>
      <c r="Y113" s="1958" t="s">
        <v>2959</v>
      </c>
      <c r="Z113" s="1958"/>
      <c r="AA113" s="1958"/>
      <c r="AB113" s="1958"/>
      <c r="AC113" s="1958"/>
      <c r="AD113" s="1958"/>
      <c r="AE113" s="1958"/>
      <c r="AF113" s="1958"/>
      <c r="AG113" s="1958"/>
    </row>
    <row r="114" spans="13:65">
      <c r="M114" s="1665" t="s">
        <v>1673</v>
      </c>
      <c r="N114" s="1666"/>
      <c r="O114" s="1666"/>
      <c r="P114" s="1634">
        <f>N114+O114</f>
        <v>0</v>
      </c>
      <c r="Q114" s="1192">
        <v>42</v>
      </c>
      <c r="R114" s="1619"/>
      <c r="S114" s="1619"/>
      <c r="X114" s="1521"/>
      <c r="Z114" s="1667"/>
      <c r="AA114" s="1559" t="s">
        <v>2635</v>
      </c>
      <c r="AB114" s="1559"/>
      <c r="AC114" s="1559"/>
      <c r="AD114" s="1559"/>
      <c r="AE114" s="1559" t="s">
        <v>2960</v>
      </c>
      <c r="AF114" s="1559" t="s">
        <v>1513</v>
      </c>
      <c r="AG114" s="1559" t="s">
        <v>2251</v>
      </c>
      <c r="BJ114" s="1323" t="s">
        <v>2635</v>
      </c>
    </row>
    <row r="115" spans="13:65">
      <c r="M115" s="1665" t="s">
        <v>1165</v>
      </c>
      <c r="N115" s="1666"/>
      <c r="O115" s="1666"/>
      <c r="P115" s="1634">
        <f>N115+O115</f>
        <v>0</v>
      </c>
      <c r="Q115" s="1192">
        <v>43</v>
      </c>
      <c r="R115" s="1619"/>
      <c r="S115" s="1619"/>
      <c r="X115" s="1521"/>
      <c r="Y115" s="1941" t="s">
        <v>2961</v>
      </c>
      <c r="Z115" s="1944" t="s">
        <v>2962</v>
      </c>
      <c r="AA115" s="1668">
        <f>IF(AE115=0,"",RANK(AE115,$AE$115:$AE$124,0)+COUNTIF($AE$115:AE115,AE115)-1)</f>
        <v>3</v>
      </c>
      <c r="AB115" s="1946" t="s">
        <v>2963</v>
      </c>
      <c r="AC115" s="1946"/>
      <c r="AD115" s="1946"/>
      <c r="AE115" s="1669">
        <f>(AF115+AG115)/($AF$126+$AG$126)</f>
        <v>0.14697406340057637</v>
      </c>
      <c r="AF115" s="1670">
        <f>'IND 1.5.2'!B93+'IND 1.5.2'!D93</f>
        <v>51</v>
      </c>
      <c r="AG115" s="1671"/>
      <c r="BJ115" s="1672">
        <f>IF(BL115=0,"",RANK(BL115,$BL$114:$BL$125,0)+COUNTIF(BL$114:BL115,BL115)-1)</f>
        <v>3</v>
      </c>
      <c r="BK115" s="1319" t="s">
        <v>218</v>
      </c>
      <c r="BL115" s="1672">
        <f>'IND 6.1.4'!B46+'IND 6.1.4'!C46</f>
        <v>3</v>
      </c>
      <c r="BM115" s="1673">
        <f>BL115/SUM($BL$115:$BL$125)</f>
        <v>9.0909090909090912E-2</v>
      </c>
    </row>
    <row r="116" spans="13:65" ht="15" customHeight="1">
      <c r="M116" s="1665" t="s">
        <v>1674</v>
      </c>
      <c r="N116" s="1666"/>
      <c r="O116" s="1666"/>
      <c r="P116" s="1634">
        <f>N116+O116</f>
        <v>0</v>
      </c>
      <c r="Q116" s="1192">
        <v>44</v>
      </c>
      <c r="R116" s="1619"/>
      <c r="S116" s="1619"/>
      <c r="X116" s="1521"/>
      <c r="Y116" s="1942"/>
      <c r="Z116" s="1945"/>
      <c r="AA116" s="1674" t="str">
        <f>IF(AE116=0,"",RANK(AE116,$AE$115:$AE$124,0)+COUNTIF($AE$115:AE116,AE116)-1)</f>
        <v/>
      </c>
      <c r="AB116" s="1947" t="s">
        <v>2964</v>
      </c>
      <c r="AC116" s="1947"/>
      <c r="AD116" s="1947"/>
      <c r="AE116" s="1675">
        <f>(AF116+AG116)/($AF$126+$AG$126)</f>
        <v>0</v>
      </c>
      <c r="AF116" s="1676">
        <f>'IND 1.5.2'!E93+'IND 1.5.2'!G93</f>
        <v>0</v>
      </c>
      <c r="AG116" s="1677"/>
      <c r="BJ116" s="1672">
        <f>IF(BL116=0,"",RANK(BL116,$BL$114:$BL$125,0)+COUNTIF(BL$114:BL116,BL116)-1)</f>
        <v>1</v>
      </c>
      <c r="BK116" s="1319" t="s">
        <v>644</v>
      </c>
      <c r="BL116" s="1672">
        <f>'IND 6.1.4'!B47+'IND 6.1.4'!C47</f>
        <v>20</v>
      </c>
      <c r="BM116" s="1673">
        <f t="shared" ref="BM116:BM125" si="19">BL116/SUM($BL$115:$BL$125)</f>
        <v>0.60606060606060608</v>
      </c>
    </row>
    <row r="117" spans="13:65">
      <c r="M117" s="1619"/>
      <c r="N117" s="1619"/>
      <c r="O117" s="1619"/>
      <c r="P117" s="1619"/>
      <c r="Q117" s="1619"/>
      <c r="R117" s="1619"/>
      <c r="S117" s="1619"/>
      <c r="X117" s="1521"/>
      <c r="Y117" s="1942"/>
      <c r="Z117" s="1945"/>
      <c r="AA117" s="1674" t="str">
        <f>IF(AE117=0,"",RANK(AE117,$AE$115:$AE$124,0)+COUNTIF($AE$115:AE117,AE117)-1)</f>
        <v/>
      </c>
      <c r="AB117" s="1947"/>
      <c r="AC117" s="1947"/>
      <c r="AD117" s="1947"/>
      <c r="AE117" s="1675"/>
      <c r="AF117" s="1676"/>
      <c r="AG117" s="1677"/>
      <c r="BJ117" s="1672" t="str">
        <f>IF(BL117=0,"",RANK(BL117,$BL$114:$BL$125,0)+COUNTIF(BL$114:BL117,BL117)-1)</f>
        <v/>
      </c>
      <c r="BK117" s="1319" t="s">
        <v>645</v>
      </c>
      <c r="BL117" s="1672">
        <f>'IND 6.1.4'!B48+'IND 6.1.4'!C48</f>
        <v>0</v>
      </c>
      <c r="BM117" s="1673">
        <f t="shared" si="19"/>
        <v>0</v>
      </c>
    </row>
    <row r="118" spans="13:65" ht="15" customHeight="1">
      <c r="M118" s="1678" t="s">
        <v>1023</v>
      </c>
      <c r="N118" s="1678"/>
      <c r="O118" s="1678"/>
      <c r="P118" s="1678"/>
      <c r="Q118" s="1679"/>
      <c r="R118" s="1619"/>
      <c r="S118" s="1619"/>
      <c r="X118" s="1521"/>
      <c r="Y118" s="1942"/>
      <c r="Z118" s="1945"/>
      <c r="AA118" s="1674" t="str">
        <f>IF(AE118=0,"",RANK(AE118,$AE$115:$AE$124,0)+COUNTIF($AE$115:AE118,AE118)-1)</f>
        <v/>
      </c>
      <c r="AB118" s="1947" t="s">
        <v>2965</v>
      </c>
      <c r="AC118" s="1947"/>
      <c r="AD118" s="1947"/>
      <c r="AE118" s="1675">
        <f t="shared" ref="AE118:AE125" si="20">(AF118+AG118)/($AF$126+$AG$126)</f>
        <v>0</v>
      </c>
      <c r="AF118" s="1676">
        <f>'IND 1.5.2'!I93</f>
        <v>0</v>
      </c>
      <c r="AG118" s="1677"/>
      <c r="BJ118" s="1672" t="str">
        <f>IF(BL118=0,"",RANK(BL118,$BL$114:$BL$125,0)+COUNTIF(BL$114:BL118,BL118)-1)</f>
        <v/>
      </c>
      <c r="BK118" s="1319" t="s">
        <v>646</v>
      </c>
      <c r="BL118" s="1672">
        <f>'IND 6.1.4'!B49+'IND 6.1.4'!C49</f>
        <v>0</v>
      </c>
      <c r="BM118" s="1673">
        <f t="shared" si="19"/>
        <v>0</v>
      </c>
    </row>
    <row r="119" spans="13:65" ht="15" customHeight="1">
      <c r="M119" s="1619"/>
      <c r="N119" s="1619"/>
      <c r="O119" s="1619"/>
      <c r="P119" s="1619"/>
      <c r="Q119" s="1619"/>
      <c r="R119" s="1619"/>
      <c r="S119" s="1619"/>
      <c r="X119" s="1521"/>
      <c r="Y119" s="1942"/>
      <c r="Z119" s="1945"/>
      <c r="AA119" s="1674">
        <f>IF(AE119=0,"",RANK(AE119,$AE$115:$AE$124,0)+COUNTIF($AE$115:AE119,AE119)-1)</f>
        <v>4</v>
      </c>
      <c r="AB119" s="1947" t="s">
        <v>1608</v>
      </c>
      <c r="AC119" s="1947"/>
      <c r="AD119" s="1947"/>
      <c r="AE119" s="1675">
        <f t="shared" si="20"/>
        <v>0.11239193083573487</v>
      </c>
      <c r="AF119" s="1676">
        <f>'IND 1.5.2'!J93</f>
        <v>39</v>
      </c>
      <c r="AG119" s="1677"/>
      <c r="BJ119" s="1672" t="str">
        <f>IF(BL119=0,"",RANK(BL119,$BL$114:$BL$125,0)+COUNTIF(BL$114:BL119,BL119)-1)</f>
        <v/>
      </c>
      <c r="BK119" s="1319" t="s">
        <v>647</v>
      </c>
      <c r="BL119" s="1672">
        <f>'IND 6.1.4'!B50+'IND 6.1.4'!C50</f>
        <v>0</v>
      </c>
      <c r="BM119" s="1673">
        <f t="shared" si="19"/>
        <v>0</v>
      </c>
    </row>
    <row r="120" spans="13:65" ht="15" customHeight="1">
      <c r="M120" s="1680" t="s">
        <v>988</v>
      </c>
      <c r="N120" s="1681" t="s">
        <v>707</v>
      </c>
      <c r="O120" s="1681" t="s">
        <v>708</v>
      </c>
      <c r="P120" s="1624" t="s">
        <v>768</v>
      </c>
      <c r="Q120" s="1619"/>
      <c r="R120" s="1619"/>
      <c r="S120" s="1619"/>
      <c r="T120" s="1319">
        <v>6</v>
      </c>
      <c r="U120" s="1319" t="str">
        <f>IF(SUM('IND 1.4.1-1.4.4'!$B$26:$C$28)=0,"",IF(SUM('IND 1.4.1-1.4.4'!$B$26:$C$28)=1,"&gt; Un agent détaché au sein de la collectivité"&amp;CHAR(10),"&gt; "&amp;SUM('IND 1.4.1-1.4.4'!$B$26:$C$28)&amp;" agents détachés au sein de la collectivité"&amp;CHAR(10)))</f>
        <v xml:space="preserve">&gt; 26 agents détachés au sein de la collectivité
</v>
      </c>
      <c r="X120" s="1521"/>
      <c r="Y120" s="1942"/>
      <c r="Z120" s="1945"/>
      <c r="AA120" s="1674" t="str">
        <f>IF(AE120=0,"",RANK(AE120,$AE$115:$AE$124,0)+COUNTIF($AE$115:AE120,AE120)-1)</f>
        <v/>
      </c>
      <c r="AB120" s="1947" t="s">
        <v>2966</v>
      </c>
      <c r="AC120" s="1947"/>
      <c r="AD120" s="1947"/>
      <c r="AE120" s="1675">
        <f t="shared" si="20"/>
        <v>0</v>
      </c>
      <c r="AF120" s="1676">
        <f>SUM('IND 1.5.2'!K93:N93)</f>
        <v>0</v>
      </c>
      <c r="AG120" s="1677"/>
      <c r="BJ120" s="1672">
        <f>IF(BL120=0,"",RANK(BL120,$BL$114:$BL$125,0)+COUNTIF(BL$114:BL120,BL120)-1)</f>
        <v>5</v>
      </c>
      <c r="BK120" s="1319" t="s">
        <v>648</v>
      </c>
      <c r="BL120" s="1672">
        <f>'IND 6.1.4'!B51+'IND 6.1.4'!C51</f>
        <v>1</v>
      </c>
      <c r="BM120" s="1673">
        <f t="shared" si="19"/>
        <v>3.0303030303030304E-2</v>
      </c>
    </row>
    <row r="121" spans="13:65" ht="15" customHeight="1">
      <c r="M121" s="1682" t="s">
        <v>989</v>
      </c>
      <c r="N121" s="1683"/>
      <c r="O121" s="1683"/>
      <c r="P121" s="1634">
        <f>N121+O121</f>
        <v>0</v>
      </c>
      <c r="Q121" s="1192">
        <v>51</v>
      </c>
      <c r="R121" s="1619"/>
      <c r="S121" s="1619"/>
      <c r="X121" s="1521"/>
      <c r="Y121" s="1942"/>
      <c r="Z121" s="1945"/>
      <c r="AA121" s="1674" t="str">
        <f>IF(AE121=0,"",RANK(AE121,$AE$115:$AE$124,0)+COUNTIF($AE$115:AE121,AE121)-1)</f>
        <v/>
      </c>
      <c r="AB121" s="1947" t="s">
        <v>2036</v>
      </c>
      <c r="AC121" s="1947"/>
      <c r="AD121" s="1947"/>
      <c r="AE121" s="1675">
        <f t="shared" si="20"/>
        <v>0</v>
      </c>
      <c r="AF121" s="1676">
        <f>'IND 1.5.2'!O93</f>
        <v>0</v>
      </c>
      <c r="AG121" s="1677"/>
      <c r="BJ121" s="1672">
        <f>IF(BL121=0,"",RANK(BL121,$BL$114:$BL$125,0)+COUNTIF(BL$114:BL121,BL121)-1)</f>
        <v>2</v>
      </c>
      <c r="BK121" s="1319" t="s">
        <v>1458</v>
      </c>
      <c r="BL121" s="1672">
        <f>'IND 6.1.4'!B52+'IND 6.1.4'!C52</f>
        <v>6</v>
      </c>
      <c r="BM121" s="1673">
        <f t="shared" si="19"/>
        <v>0.18181818181818182</v>
      </c>
    </row>
    <row r="122" spans="13:65" ht="15" customHeight="1">
      <c r="M122" s="1684" t="s">
        <v>2003</v>
      </c>
      <c r="N122" s="1683"/>
      <c r="O122" s="1683"/>
      <c r="P122" s="1634">
        <f>N122+O122</f>
        <v>0</v>
      </c>
      <c r="Q122" s="1192">
        <v>52</v>
      </c>
      <c r="R122" s="1619"/>
      <c r="S122" s="1619"/>
      <c r="X122" s="1521"/>
      <c r="Y122" s="1942"/>
      <c r="Z122" s="1945"/>
      <c r="AA122" s="1674">
        <f>IF(AE122=0,"",RANK(AE122,$AE$115:$AE$124,0)+COUNTIF($AE$115:AE122,AE122)-1)</f>
        <v>2</v>
      </c>
      <c r="AB122" s="1947" t="s">
        <v>2967</v>
      </c>
      <c r="AC122" s="1947"/>
      <c r="AD122" s="1947"/>
      <c r="AE122" s="1675">
        <f t="shared" si="20"/>
        <v>0.16426512968299711</v>
      </c>
      <c r="AF122" s="1676">
        <f>'IND 1.5.2'!P93+'IND 1.5.2'!Q93</f>
        <v>57</v>
      </c>
      <c r="AG122" s="1685">
        <f>'IND 1.5.3'!F13</f>
        <v>0</v>
      </c>
      <c r="BJ122" s="1672" t="str">
        <f>IF(BL122=0,"",RANK(BL122,$BL$114:$BL$125,0)+COUNTIF(BL$114:BL122,BL122)-1)</f>
        <v/>
      </c>
      <c r="BK122" s="1319" t="s">
        <v>1459</v>
      </c>
      <c r="BL122" s="1672">
        <f>'IND 6.1.4'!B53+'IND 6.1.4'!C53</f>
        <v>0</v>
      </c>
      <c r="BM122" s="1673">
        <f t="shared" si="19"/>
        <v>0</v>
      </c>
    </row>
    <row r="123" spans="13:65" ht="15" customHeight="1">
      <c r="M123" s="1684" t="s">
        <v>2004</v>
      </c>
      <c r="N123" s="1683"/>
      <c r="O123" s="1683"/>
      <c r="P123" s="1634">
        <f>N123+O123</f>
        <v>0</v>
      </c>
      <c r="Q123" s="1192">
        <v>53</v>
      </c>
      <c r="R123" s="1619"/>
      <c r="S123" s="1619"/>
      <c r="X123" s="1521"/>
      <c r="Y123" s="1942"/>
      <c r="Z123" s="1945"/>
      <c r="AA123" s="1686">
        <f>IF(AE123=0,"",RANK(AE123,$AE$115:$AE$124,0)+COUNTIF($AE$115:AE123,AE123)-1)</f>
        <v>1</v>
      </c>
      <c r="AB123" s="1929" t="s">
        <v>2968</v>
      </c>
      <c r="AC123" s="1929"/>
      <c r="AD123" s="1929"/>
      <c r="AE123" s="1687">
        <f t="shared" si="20"/>
        <v>0.5389048991354467</v>
      </c>
      <c r="AF123" s="1688"/>
      <c r="AG123" s="1685">
        <f>'IND 1.5.3'!F98</f>
        <v>187</v>
      </c>
      <c r="BJ123" s="1672" t="str">
        <f>IF(BL123=0,"",RANK(BL123,$BL$114:$BL$125,0)+COUNTIF(BL$114:BL123,BL123)-1)</f>
        <v/>
      </c>
      <c r="BK123" s="1319" t="s">
        <v>1460</v>
      </c>
      <c r="BL123" s="1672">
        <f>'IND 6.1.4'!B54+'IND 6.1.4'!C54</f>
        <v>0</v>
      </c>
      <c r="BM123" s="1673">
        <f t="shared" si="19"/>
        <v>0</v>
      </c>
    </row>
    <row r="124" spans="13:65">
      <c r="M124" s="1619"/>
      <c r="N124" s="1619"/>
      <c r="O124" s="1619"/>
      <c r="P124" s="1619"/>
      <c r="Q124" s="1619"/>
      <c r="R124" s="1619"/>
      <c r="S124" s="1619"/>
      <c r="X124" s="1521"/>
      <c r="Y124" s="1942"/>
      <c r="Z124" s="1945"/>
      <c r="AA124" s="1686">
        <f>IF(AE124=0,"",RANK(AE124,$AE$115:$AE$124,0)+COUNTIF($AE$115:AE124,AE124)-1)</f>
        <v>5</v>
      </c>
      <c r="AB124" s="1929" t="s">
        <v>2969</v>
      </c>
      <c r="AC124" s="1929"/>
      <c r="AD124" s="1929"/>
      <c r="AE124" s="1687">
        <f t="shared" si="20"/>
        <v>3.7463976945244955E-2</v>
      </c>
      <c r="AF124" s="1688"/>
      <c r="AG124" s="1685">
        <f>'IND 1.5.3'!F12</f>
        <v>13</v>
      </c>
      <c r="BJ124" s="1672">
        <f>IF(BL124=0,"",RANK(BL124,$BL$114:$BL$125,0)+COUNTIF(BL$114:BL124,BL124)-1)</f>
        <v>4</v>
      </c>
      <c r="BK124" s="1319" t="s">
        <v>1461</v>
      </c>
      <c r="BL124" s="1672">
        <f>'IND 6.1.4'!B55+'IND 6.1.4'!C55</f>
        <v>3</v>
      </c>
      <c r="BM124" s="1673">
        <f t="shared" si="19"/>
        <v>9.0909090909090912E-2</v>
      </c>
    </row>
    <row r="125" spans="13:65">
      <c r="M125" s="1689" t="s">
        <v>174</v>
      </c>
      <c r="N125" s="1690" t="s">
        <v>707</v>
      </c>
      <c r="O125" s="1690" t="s">
        <v>708</v>
      </c>
      <c r="P125" s="1624" t="s">
        <v>768</v>
      </c>
      <c r="Q125" s="1619"/>
      <c r="R125" s="1619"/>
      <c r="S125" s="1619"/>
      <c r="X125" s="1521"/>
      <c r="Y125" s="1943"/>
      <c r="Z125" s="1691" t="s">
        <v>2970</v>
      </c>
      <c r="AA125" s="1692"/>
      <c r="AB125" s="1930" t="s">
        <v>1021</v>
      </c>
      <c r="AC125" s="1930"/>
      <c r="AD125" s="1930"/>
      <c r="AE125" s="1693">
        <f t="shared" si="20"/>
        <v>0</v>
      </c>
      <c r="AF125" s="1694">
        <f>'IND 1.5.2'!R93</f>
        <v>0</v>
      </c>
      <c r="AG125" s="1695">
        <f>'IND 1.5.3'!F14</f>
        <v>0</v>
      </c>
      <c r="BJ125" s="1672" t="str">
        <f>IF(BL125=0,"",RANK(BL125,$BL$114:$BL$125,0)+COUNTIF(BL$114:BL125,BL125)-1)</f>
        <v/>
      </c>
      <c r="BK125" s="1319" t="s">
        <v>706</v>
      </c>
      <c r="BL125" s="1672">
        <f>'IND 6.1.4'!B56+'IND 6.1.4'!C56</f>
        <v>0</v>
      </c>
      <c r="BM125" s="1673">
        <f t="shared" si="19"/>
        <v>0</v>
      </c>
    </row>
    <row r="126" spans="13:65">
      <c r="M126" s="1696" t="s">
        <v>2005</v>
      </c>
      <c r="N126" s="1697"/>
      <c r="O126" s="1697"/>
      <c r="P126" s="1634">
        <f>N126+O126</f>
        <v>0</v>
      </c>
      <c r="Q126" s="1192">
        <v>70</v>
      </c>
      <c r="R126" s="1619"/>
      <c r="S126" s="1619"/>
      <c r="T126" s="1319">
        <v>2</v>
      </c>
      <c r="U126" s="1319" t="str">
        <f>IF(SUM('IND 1.4.1-1.4.4'!$B$31:$C$31)=0,"",IF(SUM('IND 1.4.1-1.4.4'!$B$31:$C$31)=1,"&gt; Un agent mis à disposition dans une autre structure"&amp;CHAR(10),"&gt; "&amp;SUM('IND 1.4.1-1.4.4'!$B$31:$C$31)&amp;" agents mis à disposition dans une autre structure"&amp;CHAR(10)))</f>
        <v xml:space="preserve">&gt; 8 agents mis à disposition dans une autre structure
</v>
      </c>
      <c r="X126" s="1521"/>
      <c r="Y126" s="1698"/>
      <c r="Z126" s="1699"/>
      <c r="AA126" s="1700"/>
      <c r="AB126" s="1701" t="s">
        <v>2946</v>
      </c>
      <c r="AC126" s="1700"/>
      <c r="AD126" s="1700"/>
      <c r="AE126" s="1702"/>
      <c r="AF126" s="1703">
        <f>SUM(AF115:AF124)</f>
        <v>147</v>
      </c>
      <c r="AG126" s="1704">
        <f>SUM(AG115:AG124)</f>
        <v>200</v>
      </c>
    </row>
    <row r="127" spans="13:65">
      <c r="M127" s="1705" t="s">
        <v>2006</v>
      </c>
      <c r="N127" s="1706"/>
      <c r="O127" s="1706"/>
      <c r="P127" s="1644">
        <f>N127+O127</f>
        <v>0</v>
      </c>
      <c r="Q127" s="1192">
        <v>71</v>
      </c>
      <c r="R127" s="1619"/>
      <c r="S127" s="1619"/>
    </row>
    <row r="128" spans="13:65">
      <c r="M128" s="1619"/>
      <c r="N128" s="1619"/>
      <c r="O128" s="1619"/>
      <c r="P128" s="1619"/>
      <c r="Q128" s="1619"/>
      <c r="R128" s="1619"/>
      <c r="S128" s="1619"/>
      <c r="Y128" s="1931" t="s">
        <v>2971</v>
      </c>
      <c r="Z128" s="1932"/>
      <c r="AA128" s="1937">
        <v>5</v>
      </c>
      <c r="AB128" s="1707" t="s">
        <v>2972</v>
      </c>
      <c r="AC128" s="1708"/>
      <c r="AD128" s="1708"/>
      <c r="AE128" s="1709"/>
      <c r="AF128" s="1710">
        <f>'IND 1.5.2'!C93</f>
        <v>150</v>
      </c>
      <c r="AG128" s="1711"/>
    </row>
    <row r="129" spans="13:34">
      <c r="M129" s="1619"/>
      <c r="N129" s="1619"/>
      <c r="O129" s="1619"/>
      <c r="P129" s="1619"/>
      <c r="Q129" s="1619"/>
      <c r="R129" s="1619"/>
      <c r="S129" s="1619"/>
      <c r="Y129" s="1933"/>
      <c r="Z129" s="1934"/>
      <c r="AA129" s="1938"/>
      <c r="AB129" s="1712" t="s">
        <v>2973</v>
      </c>
      <c r="AC129" s="1501"/>
      <c r="AD129" s="1501"/>
      <c r="AE129" s="1501"/>
      <c r="AF129" s="1688">
        <f>'IND 1.5.2'!F93</f>
        <v>44</v>
      </c>
      <c r="AG129" s="1713"/>
    </row>
    <row r="130" spans="13:34">
      <c r="M130" s="1619"/>
      <c r="N130" s="1619"/>
      <c r="O130" s="1619"/>
      <c r="P130" s="1619"/>
      <c r="Q130" s="1619"/>
      <c r="R130" s="1619"/>
      <c r="S130" s="1619"/>
      <c r="Y130" s="1935"/>
      <c r="Z130" s="1936"/>
      <c r="AA130" s="1939"/>
      <c r="AB130" s="1714" t="s">
        <v>164</v>
      </c>
      <c r="AC130" s="1715"/>
      <c r="AD130" s="1715"/>
      <c r="AE130" s="1715"/>
      <c r="AF130" s="1716">
        <f>'IND 1.5.2'!H93</f>
        <v>0</v>
      </c>
      <c r="AG130" s="1717"/>
    </row>
    <row r="131" spans="13:34" ht="15.75" thickBot="1">
      <c r="M131" s="1940" t="s">
        <v>2007</v>
      </c>
      <c r="N131" s="1940"/>
      <c r="O131" s="1940"/>
      <c r="P131" s="1940"/>
      <c r="Q131" s="1940"/>
      <c r="R131" s="1940"/>
      <c r="S131" s="1940"/>
    </row>
    <row r="132" spans="13:34">
      <c r="M132" s="1619"/>
      <c r="N132" s="1619"/>
      <c r="O132" s="1619"/>
      <c r="P132" s="1619"/>
      <c r="Q132" s="1619"/>
      <c r="R132" s="1619"/>
      <c r="S132" s="1619"/>
      <c r="AB132" s="1718" t="s">
        <v>2950</v>
      </c>
      <c r="AC132" s="1719">
        <v>1</v>
      </c>
      <c r="AD132" s="1319" t="s">
        <v>2974</v>
      </c>
    </row>
    <row r="133" spans="13:34">
      <c r="M133" s="1926" t="s">
        <v>2355</v>
      </c>
      <c r="N133" s="1928" t="s">
        <v>2008</v>
      </c>
      <c r="O133" s="1928"/>
      <c r="P133" s="1928" t="s">
        <v>2009</v>
      </c>
      <c r="Q133" s="1928"/>
      <c r="R133" s="1928" t="s">
        <v>2010</v>
      </c>
      <c r="S133" s="1928"/>
      <c r="AB133" s="1720" t="s">
        <v>2950</v>
      </c>
      <c r="AC133" s="1721">
        <v>2</v>
      </c>
      <c r="AD133" s="1319" t="s">
        <v>2968</v>
      </c>
    </row>
    <row r="134" spans="13:34">
      <c r="M134" s="1927"/>
      <c r="N134" s="1624" t="s">
        <v>707</v>
      </c>
      <c r="O134" s="1624" t="s">
        <v>708</v>
      </c>
      <c r="P134" s="1624" t="s">
        <v>707</v>
      </c>
      <c r="Q134" s="1624" t="s">
        <v>708</v>
      </c>
      <c r="R134" s="1624" t="s">
        <v>707</v>
      </c>
      <c r="S134" s="1624" t="s">
        <v>708</v>
      </c>
      <c r="T134" s="1722">
        <v>5</v>
      </c>
      <c r="U134" s="1319" t="str">
        <f>IF(SUM(synthese!Valeur_142)=0,"",IF(SUM(synthese!Valeur_142)=1,"&gt; Un agent détaché dans la collectivité et originaire d'une autre structure"&amp;CHAR(10),"&gt; "&amp;SUM(synthese!Valeur_142)&amp;" agents détachés dans la collectivité et originaires d'une autre structure"&amp;CHAR(10)))</f>
        <v xml:space="preserve">&gt; 8 agents détachés dans la collectivité et originaires d'une autre structure
</v>
      </c>
    </row>
    <row r="135" spans="13:34">
      <c r="M135" s="1723" t="s">
        <v>2011</v>
      </c>
      <c r="N135" s="1724"/>
      <c r="O135" s="1724"/>
      <c r="P135" s="1724"/>
      <c r="Q135" s="1724"/>
      <c r="R135" s="1724"/>
      <c r="S135" s="1724"/>
    </row>
    <row r="136" spans="13:34">
      <c r="M136" s="1725" t="s">
        <v>1672</v>
      </c>
      <c r="N136" s="1726"/>
      <c r="O136" s="1727"/>
      <c r="P136" s="1727"/>
      <c r="Q136" s="1727"/>
      <c r="R136" s="1727"/>
      <c r="S136" s="1727"/>
    </row>
    <row r="137" spans="13:34">
      <c r="M137" s="1728" t="s">
        <v>1673</v>
      </c>
      <c r="N137" s="1727"/>
      <c r="O137" s="1727"/>
      <c r="P137" s="1727"/>
      <c r="Q137" s="1727"/>
      <c r="R137" s="1727"/>
      <c r="S137" s="1727"/>
    </row>
    <row r="138" spans="13:34">
      <c r="M138" s="1723" t="s">
        <v>1165</v>
      </c>
      <c r="N138" s="1727"/>
      <c r="O138" s="1727"/>
      <c r="P138" s="1727"/>
      <c r="Q138" s="1727"/>
      <c r="R138" s="1727"/>
      <c r="S138" s="1727"/>
      <c r="Z138" s="1918" t="s">
        <v>2975</v>
      </c>
      <c r="AA138" s="1912" t="s">
        <v>2976</v>
      </c>
      <c r="AB138" s="1912"/>
      <c r="AC138" s="1910" t="s">
        <v>2977</v>
      </c>
      <c r="AD138" s="1910"/>
      <c r="AE138" s="1912" t="s">
        <v>2978</v>
      </c>
      <c r="AF138" s="1912"/>
      <c r="AG138" s="1914" t="s">
        <v>2979</v>
      </c>
      <c r="AH138" s="1916" t="s">
        <v>2980</v>
      </c>
    </row>
    <row r="139" spans="13:34" ht="15" customHeight="1">
      <c r="M139" s="1723" t="s">
        <v>1675</v>
      </c>
      <c r="N139" s="1727"/>
      <c r="O139" s="1727"/>
      <c r="P139" s="1727"/>
      <c r="Q139" s="1727"/>
      <c r="R139" s="1727"/>
      <c r="S139" s="1727"/>
      <c r="Z139" s="1897"/>
      <c r="AA139" s="1913"/>
      <c r="AB139" s="1913"/>
      <c r="AC139" s="1911"/>
      <c r="AD139" s="1911"/>
      <c r="AE139" s="1913"/>
      <c r="AF139" s="1913"/>
      <c r="AG139" s="1915"/>
      <c r="AH139" s="1917"/>
    </row>
    <row r="140" spans="13:34">
      <c r="M140" s="1729"/>
      <c r="N140" s="1730">
        <v>1</v>
      </c>
      <c r="O140" s="1730">
        <v>2</v>
      </c>
      <c r="P140" s="1730">
        <v>1</v>
      </c>
      <c r="Q140" s="1730">
        <v>2</v>
      </c>
      <c r="R140" s="1730">
        <v>1</v>
      </c>
      <c r="S140" s="1730">
        <v>2</v>
      </c>
      <c r="X140" s="1918" t="s">
        <v>2804</v>
      </c>
      <c r="Y140" s="1919"/>
      <c r="Z140" s="1920">
        <f>AG140+AE140-AA140</f>
        <v>5741</v>
      </c>
      <c r="AA140" s="1921">
        <f>SUM(AF115:AG124)</f>
        <v>347</v>
      </c>
      <c r="AB140" s="1921"/>
      <c r="AC140" s="1922" t="s">
        <v>2981</v>
      </c>
      <c r="AD140" s="1922"/>
      <c r="AE140" s="1924">
        <f>SUM(AF87:AG104)</f>
        <v>353</v>
      </c>
      <c r="AF140" s="1924"/>
      <c r="AG140" s="1925">
        <f>D69+D70</f>
        <v>5735</v>
      </c>
      <c r="AH140" s="1890">
        <f>IF(AND(Z140=0,AG140=0),"",IF(AND(Z140=0,AG140&lt;&gt;0),IF(AG140&lt;2,"1 agent",AG140 &amp; " agents"),(AG140-Z140)/Z140))</f>
        <v>-1.0451140916216688E-3</v>
      </c>
    </row>
    <row r="141" spans="13:34">
      <c r="M141" s="1731" t="s">
        <v>338</v>
      </c>
      <c r="N141" s="1732"/>
      <c r="O141" s="1732"/>
      <c r="P141" s="1732"/>
      <c r="Q141" s="1732"/>
      <c r="R141" s="1732"/>
      <c r="S141" s="1732"/>
      <c r="X141" s="1897"/>
      <c r="Y141" s="1898"/>
      <c r="Z141" s="1901"/>
      <c r="AA141" s="1903"/>
      <c r="AB141" s="1903"/>
      <c r="AC141" s="1923"/>
      <c r="AD141" s="1923"/>
      <c r="AE141" s="1907"/>
      <c r="AF141" s="1907"/>
      <c r="AG141" s="1888"/>
      <c r="AH141" s="1891"/>
    </row>
    <row r="142" spans="13:34">
      <c r="M142" s="1619"/>
      <c r="N142" s="1619"/>
      <c r="O142" s="1619"/>
      <c r="P142" s="1619"/>
      <c r="Q142" s="1619"/>
      <c r="R142" s="1619"/>
      <c r="S142" s="1619"/>
      <c r="X142" s="1897" t="s">
        <v>2982</v>
      </c>
      <c r="Y142" s="1898"/>
      <c r="Z142" s="1901">
        <f>AG142+AE142-AC142-AA142</f>
        <v>4754</v>
      </c>
      <c r="AA142" s="1903">
        <f>SUM(AF115:AF124)</f>
        <v>147</v>
      </c>
      <c r="AB142" s="1903"/>
      <c r="AC142" s="1909">
        <f>SUM(AF128:AF130)</f>
        <v>194</v>
      </c>
      <c r="AD142" s="1909"/>
      <c r="AE142" s="1907">
        <f>SUM(AF87:AF104)</f>
        <v>259</v>
      </c>
      <c r="AF142" s="1907"/>
      <c r="AG142" s="1888">
        <f>D69</f>
        <v>4836</v>
      </c>
      <c r="AH142" s="1890">
        <f>IF(AND(Z142=0,AG142=0),"",IF(AND(Z142=0,AG142&lt;&gt;0),IF(AG142&lt;2,"1 agent",AG142 &amp; " agents"),(AG142-Z142)/Z142))</f>
        <v>1.724863273033235E-2</v>
      </c>
    </row>
    <row r="143" spans="13:34" ht="15.75" thickBot="1">
      <c r="M143" s="1896" t="s">
        <v>1511</v>
      </c>
      <c r="N143" s="1896"/>
      <c r="O143" s="1896"/>
      <c r="P143" s="1896"/>
      <c r="Q143" s="1896"/>
      <c r="R143" s="1733"/>
      <c r="S143" s="1733"/>
      <c r="X143" s="1897"/>
      <c r="Y143" s="1898"/>
      <c r="Z143" s="1901"/>
      <c r="AA143" s="1903"/>
      <c r="AB143" s="1903"/>
      <c r="AC143" s="1909"/>
      <c r="AD143" s="1909"/>
      <c r="AE143" s="1907"/>
      <c r="AF143" s="1907"/>
      <c r="AG143" s="1888"/>
      <c r="AH143" s="1891"/>
    </row>
    <row r="144" spans="13:34">
      <c r="M144" s="1734"/>
      <c r="N144" s="1730">
        <v>1</v>
      </c>
      <c r="O144" s="1730">
        <v>1</v>
      </c>
      <c r="P144" s="1730">
        <v>2</v>
      </c>
      <c r="Q144" s="1730">
        <v>2</v>
      </c>
      <c r="R144" s="1730" t="s">
        <v>1512</v>
      </c>
      <c r="S144" s="1735"/>
      <c r="X144" s="1897" t="s">
        <v>2251</v>
      </c>
      <c r="Y144" s="1898"/>
      <c r="Z144" s="1901">
        <f>AG144+AC144+AE144-AA144</f>
        <v>987</v>
      </c>
      <c r="AA144" s="1903">
        <f>SUM(AG115:AG124)</f>
        <v>200</v>
      </c>
      <c r="AB144" s="1903"/>
      <c r="AC144" s="1905">
        <f>SUM(AF128:AF130)</f>
        <v>194</v>
      </c>
      <c r="AD144" s="1905"/>
      <c r="AE144" s="1907">
        <f>SUM(AG87:AG104)</f>
        <v>94</v>
      </c>
      <c r="AF144" s="1907"/>
      <c r="AG144" s="1888">
        <f>D70</f>
        <v>899</v>
      </c>
      <c r="AH144" s="1890">
        <f>IF(AND(Z144=0,AG144=0),"",IF(AND(Z144=0,AG144&lt;&gt;0),IF(AG144&lt;2,"1 agent",AG144 &amp; " agents"),(AG144-Z144)/Z144))</f>
        <v>-8.9159067882472132E-2</v>
      </c>
    </row>
    <row r="145" spans="13:47">
      <c r="M145" s="1892" t="s">
        <v>2355</v>
      </c>
      <c r="N145" s="1894" t="s">
        <v>1513</v>
      </c>
      <c r="O145" s="1895"/>
      <c r="P145" s="1895" t="s">
        <v>210</v>
      </c>
      <c r="Q145" s="1895"/>
      <c r="R145" s="1626" t="s">
        <v>1514</v>
      </c>
      <c r="S145" s="1729"/>
      <c r="X145" s="1899"/>
      <c r="Y145" s="1900"/>
      <c r="Z145" s="1902"/>
      <c r="AA145" s="1904"/>
      <c r="AB145" s="1904"/>
      <c r="AC145" s="1906"/>
      <c r="AD145" s="1906"/>
      <c r="AE145" s="1908"/>
      <c r="AF145" s="1908"/>
      <c r="AG145" s="1889"/>
      <c r="AH145" s="1891"/>
      <c r="AI145" s="1319" t="s">
        <v>2983</v>
      </c>
    </row>
    <row r="146" spans="13:47">
      <c r="M146" s="1893"/>
      <c r="N146" s="1736" t="s">
        <v>707</v>
      </c>
      <c r="O146" s="1737" t="s">
        <v>708</v>
      </c>
      <c r="P146" s="1737" t="s">
        <v>707</v>
      </c>
      <c r="Q146" s="1737" t="s">
        <v>708</v>
      </c>
      <c r="R146" s="1192"/>
      <c r="S146" s="1729"/>
      <c r="AJ146" s="1339"/>
      <c r="AK146" s="1880" t="s">
        <v>714</v>
      </c>
      <c r="AL146" s="1880"/>
      <c r="AM146" s="1880"/>
      <c r="AN146" s="1880"/>
      <c r="AO146" s="1880" t="s">
        <v>715</v>
      </c>
      <c r="AP146" s="1880"/>
      <c r="AQ146" s="1880"/>
      <c r="AR146" s="1880" t="s">
        <v>670</v>
      </c>
      <c r="AS146" s="1880"/>
      <c r="AT146" s="1880"/>
      <c r="AU146" s="1880"/>
    </row>
    <row r="147" spans="13:47">
      <c r="M147" s="1738" t="s">
        <v>1405</v>
      </c>
      <c r="N147" s="1739"/>
      <c r="O147" s="1739"/>
      <c r="P147" s="1739"/>
      <c r="Q147" s="1739"/>
      <c r="R147" s="1192">
        <v>1</v>
      </c>
      <c r="S147" s="1729"/>
      <c r="T147" s="1722">
        <v>1</v>
      </c>
      <c r="U147" s="1319" t="str">
        <f>IF(SUM('IND 1.4.1-1.4.4'!$B$52:$E$52)=0,"",IF(SUM('IND 1.4.1-1.4.4'!$B$52:$E$52)=1,"&gt; Un agent mis à disposition dans la collectivité"&amp;CHAR(10),"&gt; "&amp;SUM('IND 1.4.1-1.4.4'!$B$52:$E$52)&amp;" agents mis à disposition dans la collectivité"&amp;CHAR(10)))</f>
        <v xml:space="preserve">&gt; 2 agents mis à disposition dans la collectivité
</v>
      </c>
      <c r="AJ147" s="1339"/>
      <c r="AK147" s="1881" t="s">
        <v>2692</v>
      </c>
      <c r="AL147" s="1882"/>
      <c r="AM147" s="1740"/>
      <c r="AN147" s="1412" t="s">
        <v>2693</v>
      </c>
      <c r="AO147" s="1741" t="s">
        <v>2692</v>
      </c>
      <c r="AP147" s="1883" t="s">
        <v>2693</v>
      </c>
      <c r="AQ147" s="1882"/>
      <c r="AR147" s="1741" t="s">
        <v>2692</v>
      </c>
      <c r="AS147" s="1453"/>
      <c r="AT147" s="1883" t="s">
        <v>2693</v>
      </c>
      <c r="AU147" s="1882"/>
    </row>
    <row r="148" spans="13:47">
      <c r="M148" s="1742" t="s">
        <v>1515</v>
      </c>
      <c r="N148" s="1739"/>
      <c r="O148" s="1739"/>
      <c r="P148" s="1739"/>
      <c r="Q148" s="1739"/>
      <c r="R148" s="1192">
        <v>2</v>
      </c>
      <c r="S148" s="1743"/>
      <c r="AI148" s="1874" t="s">
        <v>2697</v>
      </c>
      <c r="AJ148" s="1874"/>
      <c r="AK148" s="1876">
        <f>SUM('IND 3.1.1-3.4.3'!$B$20:$C$20)</f>
        <v>7242541</v>
      </c>
      <c r="AL148" s="1876"/>
      <c r="AM148" s="1744"/>
      <c r="AN148" s="1744">
        <f>SUM('IND 3.1.1-3.4.3'!$B$68:$C$68)</f>
        <v>2947744</v>
      </c>
      <c r="AO148" s="1744">
        <f>SUM('IND 3.1.1-3.4.3'!$B$21:$C$21)</f>
        <v>4691325</v>
      </c>
      <c r="AP148" s="1876">
        <f>SUM('IND 3.1.1-3.4.3'!$B$69:$C$69)</f>
        <v>640490</v>
      </c>
      <c r="AQ148" s="1876"/>
      <c r="AR148" s="1744">
        <f>SUM('IND 3.1.1-3.4.3'!$B$22:$C$22)</f>
        <v>22748648</v>
      </c>
      <c r="AS148" s="1744"/>
      <c r="AT148" s="1876">
        <f>SUM('IND 3.1.1-3.4.3'!$B$70:$C$70)</f>
        <v>2831623</v>
      </c>
      <c r="AU148" s="1876"/>
    </row>
    <row r="149" spans="13:47">
      <c r="M149" s="1729"/>
      <c r="N149" s="1730">
        <v>1</v>
      </c>
      <c r="O149" s="1730">
        <v>2</v>
      </c>
      <c r="P149" s="1745">
        <v>1</v>
      </c>
      <c r="Q149" s="1730">
        <v>2</v>
      </c>
      <c r="R149" s="1730" t="s">
        <v>1307</v>
      </c>
      <c r="S149" s="1729"/>
      <c r="AI149" s="1877" t="s">
        <v>2699</v>
      </c>
      <c r="AJ149" s="1877"/>
      <c r="AK149" s="1879">
        <f>SUM('IND 3.1.1-3.4.3'!$B$24:$C$24)</f>
        <v>2708560</v>
      </c>
      <c r="AL149" s="1879"/>
      <c r="AM149" s="1746"/>
      <c r="AN149" s="1746">
        <f>SUM('IND 3.1.1-3.4.3'!$B$72:$C$72)</f>
        <v>686597</v>
      </c>
      <c r="AO149" s="1746">
        <f>SUM('IND 3.1.1-3.4.3'!$B$25:$C$25)</f>
        <v>2285707</v>
      </c>
      <c r="AP149" s="1879">
        <f>SUM('IND 3.1.1-3.4.3'!$B$73:$C$73)</f>
        <v>578029</v>
      </c>
      <c r="AQ149" s="1879"/>
      <c r="AR149" s="1746">
        <f>SUM('IND 3.1.1-3.4.3'!$B$26:$C$26)</f>
        <v>46679081</v>
      </c>
      <c r="AS149" s="1746"/>
      <c r="AT149" s="1879">
        <f>SUM('IND 3.1.1-3.4.3'!$B$74:$C$74)</f>
        <v>4366835</v>
      </c>
      <c r="AU149" s="1879"/>
    </row>
    <row r="150" spans="13:47">
      <c r="M150" s="1887" t="s">
        <v>1022</v>
      </c>
      <c r="N150" s="1887"/>
      <c r="O150" s="1887"/>
      <c r="P150" s="1887"/>
      <c r="Q150" s="1887"/>
      <c r="R150" s="1619"/>
      <c r="S150" s="1619"/>
      <c r="AI150" s="1874" t="s">
        <v>2702</v>
      </c>
      <c r="AJ150" s="1874"/>
      <c r="AK150" s="1876">
        <f>SUM('IND 3.1.1-3.4.3'!$B$28:$C$28)</f>
        <v>3920986</v>
      </c>
      <c r="AL150" s="1876"/>
      <c r="AM150" s="1744"/>
      <c r="AN150" s="1744">
        <f>SUM('IND 3.1.1-3.4.3'!$B$76:$C$76)</f>
        <v>482383</v>
      </c>
      <c r="AO150" s="1744">
        <f>SUM('IND 3.1.1-3.4.3'!$B$29:$C$29)</f>
        <v>2181022</v>
      </c>
      <c r="AP150" s="1876">
        <f>SUM('IND 3.1.1-3.4.3'!$B$77:$C$77)</f>
        <v>847110</v>
      </c>
      <c r="AQ150" s="1876"/>
      <c r="AR150" s="1744">
        <f>SUM('IND 3.1.1-3.4.3'!$B$30:$C$30)</f>
        <v>2383102</v>
      </c>
      <c r="AS150" s="1744"/>
      <c r="AT150" s="1876">
        <f>SUM('IND 3.1.1-3.4.3'!$B$78:$C$78)</f>
        <v>52259</v>
      </c>
      <c r="AU150" s="1876"/>
    </row>
    <row r="151" spans="13:47" ht="15.75" thickBot="1">
      <c r="M151" s="1619"/>
      <c r="N151" s="1619"/>
      <c r="O151" s="1619"/>
      <c r="P151" s="1619"/>
      <c r="Q151" s="1619"/>
      <c r="R151" s="1619"/>
      <c r="S151" s="1619"/>
      <c r="AI151" s="1877" t="s">
        <v>2704</v>
      </c>
      <c r="AJ151" s="1877"/>
      <c r="AK151" s="1879">
        <f>SUM('IND 3.1.1-3.4.3'!$B$32:$C$32)</f>
        <v>132346</v>
      </c>
      <c r="AL151" s="1879"/>
      <c r="AM151" s="1746"/>
      <c r="AN151" s="1746">
        <f>SUM('IND 3.1.1-3.4.3'!$B$80:$C$80)</f>
        <v>0</v>
      </c>
      <c r="AO151" s="1746">
        <f>SUM('IND 3.1.1-3.4.3'!$B$33:$C$33)</f>
        <v>2237436</v>
      </c>
      <c r="AP151" s="1879">
        <f>SUM('IND 3.1.1-3.4.3'!$B$81:$C$81)</f>
        <v>647039</v>
      </c>
      <c r="AQ151" s="1879"/>
      <c r="AR151" s="1746">
        <f>SUM('IND 3.1.1-3.4.3'!$B$34:$C$34)</f>
        <v>247944</v>
      </c>
      <c r="AS151" s="1746"/>
      <c r="AT151" s="1879">
        <f>SUM('IND 3.1.1-3.4.3'!$B$82:$C$82)</f>
        <v>22293</v>
      </c>
      <c r="AU151" s="1879"/>
    </row>
    <row r="152" spans="13:47" ht="15.75" thickBot="1">
      <c r="M152" s="1886" t="s">
        <v>1172</v>
      </c>
      <c r="N152" s="1886"/>
      <c r="O152" s="1886"/>
      <c r="P152" s="1886"/>
      <c r="Q152" s="1747"/>
      <c r="R152" s="1619"/>
      <c r="S152" s="1619"/>
      <c r="AI152" s="1874" t="s">
        <v>2711</v>
      </c>
      <c r="AJ152" s="1874"/>
      <c r="AK152" s="1876">
        <f>SUM('IND 3.1.1-3.4.3'!$B$36:$C$36)+SUM('IND 3.1.1-3.4.3'!$B40:$C$40)+SUM('IND 3.1.1-3.4.3'!$B$44:$C$44)</f>
        <v>4089465</v>
      </c>
      <c r="AL152" s="1876"/>
      <c r="AM152" s="1744"/>
      <c r="AN152" s="1744">
        <f>SUM('IND 3.1.1-3.4.3'!$B$84:$C$84)+SUM('IND 3.1.1-3.4.3'!$B88:$C$88)+SUM('IND 3.1.1-3.4.3'!$B$92:$C$92)</f>
        <v>700481</v>
      </c>
      <c r="AO152" s="1744">
        <f>SUM('IND 3.1.1-3.4.3'!$B$37:$C$37)+SUM('IND 3.1.1-3.4.3'!$B41:$C$41)+SUM('IND 3.1.1-3.4.3'!$B$45:$C$45)</f>
        <v>62065</v>
      </c>
      <c r="AP152" s="1876">
        <f>SUM('IND 3.1.1-3.4.3'!$B$85:$C$85)+SUM('IND 3.1.1-3.4.3'!$B89:$C$89)+SUM('IND 3.1.1-3.4.3'!$B$93:$C$93)</f>
        <v>0</v>
      </c>
      <c r="AQ152" s="1876"/>
      <c r="AR152" s="1744">
        <f>SUM('IND 3.1.1-3.4.3'!$B$38:$C$38)+SUM('IND 3.1.1-3.4.3'!$B42:$C$42)+SUM('IND 3.1.1-3.4.3'!$B$46:$C$46)</f>
        <v>14890339</v>
      </c>
      <c r="AS152" s="1744"/>
      <c r="AT152" s="1876">
        <f>SUM('IND 3.1.1-3.4.3'!$B$86:$C$86)+SUM('IND 3.1.1-3.4.3'!$B90:$C$90)+SUM('IND 3.1.1-3.4.3'!$B$94:$C$94)</f>
        <v>5090130</v>
      </c>
      <c r="AU152" s="1876"/>
    </row>
    <row r="153" spans="13:47">
      <c r="M153" s="1619"/>
      <c r="N153" s="1619"/>
      <c r="O153" s="1619"/>
      <c r="P153" s="1619"/>
      <c r="Q153" s="1619"/>
      <c r="R153" s="1619"/>
      <c r="S153" s="1619"/>
      <c r="AI153" s="1877" t="s">
        <v>2713</v>
      </c>
      <c r="AJ153" s="1877"/>
      <c r="AK153" s="1879">
        <f>SUM('IND 3.1.1-3.4.3'!$B$48:$C$48)</f>
        <v>232103</v>
      </c>
      <c r="AL153" s="1879"/>
      <c r="AM153" s="1746"/>
      <c r="AN153" s="1746">
        <f>SUM('IND 3.1.1-3.4.3'!$B$96:$C$96)</f>
        <v>0</v>
      </c>
      <c r="AO153" s="1746">
        <f>SUM('IND 3.1.1-3.4.3'!$B$49:$C$49)</f>
        <v>2286766</v>
      </c>
      <c r="AP153" s="1879">
        <f>SUM('IND 3.1.1-3.4.3'!$B$97:$C$97)</f>
        <v>0</v>
      </c>
      <c r="AQ153" s="1879"/>
      <c r="AR153" s="1746">
        <f>SUM('IND 3.1.1-3.4.3'!$B$50:$C$50)</f>
        <v>12542341</v>
      </c>
      <c r="AS153" s="1746"/>
      <c r="AT153" s="1879">
        <f>SUM('IND 3.1.1-3.4.3'!$B$98:$C$98)</f>
        <v>0</v>
      </c>
      <c r="AU153" s="1879"/>
    </row>
    <row r="154" spans="13:47">
      <c r="M154" s="1884" t="s">
        <v>230</v>
      </c>
      <c r="N154" s="1885"/>
      <c r="O154" s="1885"/>
      <c r="P154" s="1885"/>
      <c r="Q154" s="1747"/>
      <c r="R154" s="1619"/>
      <c r="S154" s="1619"/>
      <c r="AI154" s="1874" t="s">
        <v>2715</v>
      </c>
      <c r="AJ154" s="1874"/>
      <c r="AK154" s="1876">
        <f>SUM('IND 3.1.1-3.4.3'!$B$52:$C$52)</f>
        <v>0</v>
      </c>
      <c r="AL154" s="1876"/>
      <c r="AM154" s="1744"/>
      <c r="AN154" s="1744">
        <f>SUM('IND 3.1.1-3.4.3'!$B$100:$C$100)</f>
        <v>0</v>
      </c>
      <c r="AO154" s="1744">
        <f>SUM('IND 3.1.1-3.4.3'!$B$53:$C$53)</f>
        <v>0</v>
      </c>
      <c r="AP154" s="1876">
        <f>SUM('IND 3.1.1-3.4.3'!$B$101:$C$101)</f>
        <v>0</v>
      </c>
      <c r="AQ154" s="1876"/>
      <c r="AR154" s="1744">
        <f>SUM('IND 3.1.1-3.4.3'!$B$54:$C$54)</f>
        <v>0</v>
      </c>
      <c r="AS154" s="1744"/>
      <c r="AT154" s="1876">
        <f>SUM('IND 3.1.1-3.4.3'!$B$102:$C$102)</f>
        <v>0</v>
      </c>
      <c r="AU154" s="1876"/>
    </row>
    <row r="155" spans="13:47">
      <c r="M155" s="1729"/>
      <c r="N155" s="1745">
        <v>1</v>
      </c>
      <c r="O155" s="1745">
        <v>2</v>
      </c>
      <c r="P155" s="1745">
        <v>0</v>
      </c>
      <c r="Q155" s="1730" t="s">
        <v>1307</v>
      </c>
      <c r="R155" s="1619"/>
      <c r="S155" s="1619"/>
      <c r="AI155" s="1877" t="s">
        <v>2718</v>
      </c>
      <c r="AJ155" s="1877"/>
      <c r="AK155" s="1878"/>
      <c r="AL155" s="1878"/>
      <c r="AM155" s="1748"/>
      <c r="AN155" s="1748"/>
      <c r="AO155" s="1746">
        <f>SUM('IND 3.1.1-3.4.3'!$B$56:$C$56)</f>
        <v>465716</v>
      </c>
      <c r="AP155" s="1879">
        <f>SUM('IND 3.1.1-3.4.3'!$B$104:$C$104)</f>
        <v>106926</v>
      </c>
      <c r="AQ155" s="1879"/>
      <c r="AR155" s="1746">
        <f>SUM('IND 3.1.1-3.4.3'!$B$57:$C$57)</f>
        <v>2630302</v>
      </c>
      <c r="AS155" s="1746"/>
      <c r="AT155" s="1879">
        <f>SUM('IND 3.1.1-3.4.3'!$B$105:$C$105)</f>
        <v>740676</v>
      </c>
      <c r="AU155" s="1879"/>
    </row>
    <row r="156" spans="13:47">
      <c r="M156" s="1749" t="s">
        <v>2355</v>
      </c>
      <c r="N156" s="1625" t="s">
        <v>707</v>
      </c>
      <c r="O156" s="1625" t="s">
        <v>708</v>
      </c>
      <c r="P156" s="1750" t="s">
        <v>768</v>
      </c>
      <c r="Q156" s="1626" t="s">
        <v>937</v>
      </c>
      <c r="R156" s="1619"/>
      <c r="S156" s="1619"/>
      <c r="AI156" s="1874" t="s">
        <v>2984</v>
      </c>
      <c r="AJ156" s="1874"/>
      <c r="AK156" s="1875">
        <f>SUM(AK148:AL155)</f>
        <v>18326001</v>
      </c>
      <c r="AL156" s="1875"/>
      <c r="AM156" s="1744"/>
      <c r="AN156" s="1744">
        <f>SUM(AN148:AN155)</f>
        <v>4817205</v>
      </c>
      <c r="AO156" s="1744">
        <f>SUM(AO148:AO155)</f>
        <v>14210037</v>
      </c>
      <c r="AP156" s="1875">
        <f>SUM(AP148:AQ155)</f>
        <v>2819594</v>
      </c>
      <c r="AQ156" s="1875"/>
      <c r="AR156" s="1744">
        <f>SUM(AR148:AR155)</f>
        <v>102121757</v>
      </c>
      <c r="AS156" s="1744"/>
      <c r="AT156" s="1744">
        <f>SUM(AT148:AT155)</f>
        <v>13103816</v>
      </c>
      <c r="AU156" s="1744">
        <f>SUM(AU148:AU155)</f>
        <v>0</v>
      </c>
    </row>
    <row r="157" spans="13:47">
      <c r="M157" s="1751" t="s">
        <v>938</v>
      </c>
      <c r="N157" s="1752"/>
      <c r="O157" s="1752"/>
      <c r="P157" s="1634">
        <f>SUM(N157:O157)</f>
        <v>0</v>
      </c>
      <c r="Q157" s="1192">
        <v>1</v>
      </c>
      <c r="R157" s="1619"/>
      <c r="S157" s="1619"/>
    </row>
    <row r="158" spans="13:47">
      <c r="M158" s="1751" t="s">
        <v>939</v>
      </c>
      <c r="N158" s="1633"/>
      <c r="O158" s="1633"/>
      <c r="P158" s="1634">
        <f>SUM(N158:O158)</f>
        <v>0</v>
      </c>
      <c r="Q158" s="1192">
        <v>2</v>
      </c>
      <c r="R158" s="1619"/>
      <c r="S158" s="1619"/>
      <c r="AI158" s="1319" t="s">
        <v>2872</v>
      </c>
    </row>
    <row r="159" spans="13:47">
      <c r="M159" s="1751" t="s">
        <v>940</v>
      </c>
      <c r="N159" s="1633"/>
      <c r="O159" s="1633"/>
      <c r="P159" s="1634">
        <f>SUM(N159:O159)</f>
        <v>0</v>
      </c>
      <c r="Q159" s="1192">
        <v>3</v>
      </c>
      <c r="R159" s="1619"/>
      <c r="S159" s="1619"/>
      <c r="AJ159" s="1339"/>
      <c r="AK159" s="1880" t="s">
        <v>714</v>
      </c>
      <c r="AL159" s="1880"/>
      <c r="AM159" s="1880"/>
      <c r="AN159" s="1880"/>
      <c r="AO159" s="1880" t="s">
        <v>715</v>
      </c>
      <c r="AP159" s="1880"/>
      <c r="AQ159" s="1880"/>
      <c r="AR159" s="1880" t="s">
        <v>670</v>
      </c>
      <c r="AS159" s="1880"/>
      <c r="AT159" s="1880"/>
      <c r="AU159" s="1880"/>
    </row>
    <row r="160" spans="13:47">
      <c r="M160" s="1751" t="s">
        <v>941</v>
      </c>
      <c r="N160" s="1633"/>
      <c r="O160" s="1633"/>
      <c r="P160" s="1634">
        <f>SUM(N160:O160)</f>
        <v>0</v>
      </c>
      <c r="Q160" s="1192">
        <v>4</v>
      </c>
      <c r="R160" s="1619"/>
      <c r="S160" s="1619"/>
      <c r="AJ160" s="1339"/>
      <c r="AK160" s="1881" t="s">
        <v>2692</v>
      </c>
      <c r="AL160" s="1882"/>
      <c r="AM160" s="1740"/>
      <c r="AN160" s="1412" t="s">
        <v>2693</v>
      </c>
      <c r="AO160" s="1741" t="s">
        <v>2692</v>
      </c>
      <c r="AP160" s="1883" t="s">
        <v>2693</v>
      </c>
      <c r="AQ160" s="1882"/>
      <c r="AR160" s="1741" t="s">
        <v>2692</v>
      </c>
      <c r="AS160" s="1453"/>
      <c r="AT160" s="1883" t="s">
        <v>2693</v>
      </c>
      <c r="AU160" s="1882"/>
    </row>
    <row r="161" spans="35:47">
      <c r="AI161" s="1874" t="s">
        <v>2697</v>
      </c>
      <c r="AJ161" s="1874"/>
      <c r="AK161" s="1876">
        <f>SUM('IND 1.1.4'!$C$33:$D$33)</f>
        <v>131.51999999999998</v>
      </c>
      <c r="AL161" s="1876"/>
      <c r="AM161" s="1744"/>
      <c r="AN161" s="1744">
        <f>SUM('IND 1.2.4'!$C$32:$D$32)</f>
        <v>45.1</v>
      </c>
      <c r="AO161" s="1744">
        <f>SUM('IND 1.1.4'!$C$34:$D$34)</f>
        <v>128.13</v>
      </c>
      <c r="AP161" s="1876">
        <f>SUM('IND 1.2.4'!$C$33:$D$33)</f>
        <v>12.83</v>
      </c>
      <c r="AQ161" s="1876"/>
      <c r="AR161" s="1744">
        <f>SUM('IND 1.1.4'!$C$35:$D$35)</f>
        <v>832.55</v>
      </c>
      <c r="AS161" s="1744"/>
      <c r="AT161" s="1876">
        <f>SUM('IND 1.2.4'!$C$34:$D$34)</f>
        <v>104.07</v>
      </c>
      <c r="AU161" s="1876"/>
    </row>
    <row r="162" spans="35:47">
      <c r="AI162" s="1877" t="s">
        <v>2699</v>
      </c>
      <c r="AJ162" s="1877"/>
      <c r="AK162" s="1879">
        <f>SUM('IND 1.1.4'!$C$37:$D$37)</f>
        <v>43.370000000000005</v>
      </c>
      <c r="AL162" s="1879"/>
      <c r="AM162" s="1746"/>
      <c r="AN162" s="1746">
        <f>SUM('IND 1.2.4'!$C$36:$D$36)</f>
        <v>10.879999999999999</v>
      </c>
      <c r="AO162" s="1746">
        <f>SUM('IND 1.1.4'!$C$38:$D$38)</f>
        <v>62.199999999999996</v>
      </c>
      <c r="AP162" s="1879">
        <f>SUM('IND 1.2.4'!$C$37:$D$37)</f>
        <v>15.219999999999999</v>
      </c>
      <c r="AQ162" s="1879"/>
      <c r="AR162" s="1746">
        <f>SUM('IND 1.1.4'!$C$39:$D$39)</f>
        <v>1770.23</v>
      </c>
      <c r="AS162" s="1746"/>
      <c r="AT162" s="1879">
        <f>SUM('IND 1.2.4'!$C$38:$D$38)</f>
        <v>171.74</v>
      </c>
      <c r="AU162" s="1879"/>
    </row>
    <row r="163" spans="35:47">
      <c r="AI163" s="1874" t="s">
        <v>2702</v>
      </c>
      <c r="AJ163" s="1874"/>
      <c r="AK163" s="1876">
        <f>SUM('IND 1.1.4'!$C$41:$D$41)</f>
        <v>94.45</v>
      </c>
      <c r="AL163" s="1876"/>
      <c r="AM163" s="1744"/>
      <c r="AN163" s="1744">
        <f>SUM('IND 1.2.4'!$C$40:$D$40)</f>
        <v>15.38</v>
      </c>
      <c r="AO163" s="1744">
        <f>SUM('IND 1.1.4'!$C$42:$D$42)</f>
        <v>63.489999999999995</v>
      </c>
      <c r="AP163" s="1876">
        <f>SUM('IND 1.2.4'!$C$41:$D$41)</f>
        <v>32.82</v>
      </c>
      <c r="AQ163" s="1876"/>
      <c r="AR163" s="1744">
        <f>SUM('IND 1.1.4'!$C$43:$D$43)</f>
        <v>88.48</v>
      </c>
      <c r="AS163" s="1744"/>
      <c r="AT163" s="1876">
        <f>SUM('IND 1.2.4'!$C$42:$D$42)</f>
        <v>2</v>
      </c>
      <c r="AU163" s="1876"/>
    </row>
    <row r="164" spans="35:47">
      <c r="AI164" s="1877" t="s">
        <v>2704</v>
      </c>
      <c r="AJ164" s="1877"/>
      <c r="AK164" s="1879">
        <f>SUM('IND 1.1.4'!$C$45:$D$45)</f>
        <v>3</v>
      </c>
      <c r="AL164" s="1879"/>
      <c r="AM164" s="1746"/>
      <c r="AN164" s="1746">
        <f>SUM('IND 1.2.4'!$C$44:$D$44)</f>
        <v>0</v>
      </c>
      <c r="AO164" s="1746">
        <f>SUM('IND 1.1.4'!$C$46:$D$46)</f>
        <v>70.819999999999993</v>
      </c>
      <c r="AP164" s="1879">
        <f>SUM('IND 1.2.4'!$C$45:$D$45)</f>
        <v>23.53</v>
      </c>
      <c r="AQ164" s="1879"/>
      <c r="AR164" s="1746">
        <f>SUM('IND 1.1.4'!$C$47:$D$47)</f>
        <v>9</v>
      </c>
      <c r="AS164" s="1746"/>
      <c r="AT164" s="1879">
        <f>SUM('IND 1.2.4'!$C$46:$D$46)</f>
        <v>1</v>
      </c>
      <c r="AU164" s="1879"/>
    </row>
    <row r="165" spans="35:47">
      <c r="AI165" s="1874" t="s">
        <v>2711</v>
      </c>
      <c r="AJ165" s="1874"/>
      <c r="AK165" s="1876">
        <f>SUM('IND 1.1.4'!$C$49:$D$49)+SUM('IND 1.1.4'!$C$53:$D$53)+SUM('IND 1.1.4'!$C$57:$D$57)</f>
        <v>99.94</v>
      </c>
      <c r="AL165" s="1876"/>
      <c r="AM165" s="1744"/>
      <c r="AN165" s="1744">
        <f>SUM('IND 1.2.4'!$C$48:$D$48)+SUM('IND 1.2.4'!$C$52:$D$52)+SUM('IND 1.2.4'!$C$56:$D$56)</f>
        <v>21.7</v>
      </c>
      <c r="AO165" s="1744">
        <f>SUM('IND 1.1.4'!$C$50:$D$50)+SUM('IND 1.1.4'!$C$54:$D$54)+SUM('IND 1.1.4'!$C$58:$D$58)</f>
        <v>2</v>
      </c>
      <c r="AP165" s="1876">
        <f>SUM('IND 1.2.4'!$C$49:$D$49)+SUM('IND 1.2.4'!$C$53:$D$53)+SUM('IND 1.2.4'!$C$57:$D$57)</f>
        <v>0</v>
      </c>
      <c r="AQ165" s="1876"/>
      <c r="AR165" s="1744">
        <f>SUM('IND 1.1.4'!$C$51:$D$51)+SUM('IND 1.1.4'!$C$55:$D$55)+SUM('IND 1.1.4'!$C$59:$D$59)</f>
        <v>557.46</v>
      </c>
      <c r="AS165" s="1744"/>
      <c r="AT165" s="1876">
        <f>SUM('IND 1.2.4'!$C$50:$D$50)+SUM('IND 1.2.4'!$C$54:$D$54)+SUM('IND 1.2.4'!$C$58:$D$58)</f>
        <v>208.29</v>
      </c>
      <c r="AU165" s="1876"/>
    </row>
    <row r="166" spans="35:47">
      <c r="AI166" s="1877" t="s">
        <v>2713</v>
      </c>
      <c r="AJ166" s="1877"/>
      <c r="AK166" s="1879">
        <f>SUM('IND 1.1.4'!$C$61:$D$61)</f>
        <v>4</v>
      </c>
      <c r="AL166" s="1879"/>
      <c r="AM166" s="1746"/>
      <c r="AN166" s="1746">
        <f>SUM('IND 1.2.4'!$C$60:$D$60)</f>
        <v>0</v>
      </c>
      <c r="AO166" s="1746">
        <f>SUM('IND 1.1.4'!$C$62:$D$62)</f>
        <v>49.38</v>
      </c>
      <c r="AP166" s="1879">
        <f>SUM('IND 1.2.4'!$C$61:$D$61)</f>
        <v>0</v>
      </c>
      <c r="AQ166" s="1879"/>
      <c r="AR166" s="1746">
        <f>SUM('IND 1.1.4'!$C$63:$D$63)</f>
        <v>367.83000000000004</v>
      </c>
      <c r="AS166" s="1746"/>
      <c r="AT166" s="1879">
        <f>SUM('IND 1.2.4'!$C$62:$D$62)</f>
        <v>0</v>
      </c>
      <c r="AU166" s="1879"/>
    </row>
    <row r="167" spans="35:47">
      <c r="AI167" s="1874" t="s">
        <v>2715</v>
      </c>
      <c r="AJ167" s="1874"/>
      <c r="AK167" s="1876">
        <f>SUM('IND 1.1.4'!$C$65:$D$65)</f>
        <v>0</v>
      </c>
      <c r="AL167" s="1876"/>
      <c r="AM167" s="1744"/>
      <c r="AN167" s="1744">
        <f>SUM('IND 1.2.4'!$C$64:$D$64)</f>
        <v>0</v>
      </c>
      <c r="AO167" s="1744">
        <f>SUM('IND 1.1.4'!$C$66:$D$66)</f>
        <v>0</v>
      </c>
      <c r="AP167" s="1876">
        <f>SUM('IND 1.2.4'!$C$65:$D$65)</f>
        <v>0</v>
      </c>
      <c r="AQ167" s="1876"/>
      <c r="AR167" s="1744">
        <f>SUM('IND 1.1.4'!$C$67:$D$67)</f>
        <v>0</v>
      </c>
      <c r="AS167" s="1744"/>
      <c r="AT167" s="1876">
        <f>SUM('IND 1.2.4'!$C$66:$D$66)</f>
        <v>0</v>
      </c>
      <c r="AU167" s="1876"/>
    </row>
    <row r="168" spans="35:47">
      <c r="AI168" s="1877" t="s">
        <v>2718</v>
      </c>
      <c r="AJ168" s="1877"/>
      <c r="AK168" s="1878"/>
      <c r="AL168" s="1878"/>
      <c r="AM168" s="1748"/>
      <c r="AN168" s="1748"/>
      <c r="AO168" s="1746">
        <f>SUM('IND 1.1.4'!$C$69:$D$69)</f>
        <v>16.5</v>
      </c>
      <c r="AP168" s="1879">
        <f>SUM('IND 1.2.4'!$C$68:$D$68)</f>
        <v>3.5</v>
      </c>
      <c r="AQ168" s="1879"/>
      <c r="AR168" s="1746">
        <f>SUM('IND 1.1.4'!$C$70:$D$70)</f>
        <v>111.13999999999999</v>
      </c>
      <c r="AS168" s="1746"/>
      <c r="AT168" s="1879">
        <f>SUM('IND 1.2.4'!$C$69:$D$69)</f>
        <v>32.620000000000005</v>
      </c>
      <c r="AU168" s="1879"/>
    </row>
    <row r="169" spans="35:47">
      <c r="AI169" s="1874" t="s">
        <v>2984</v>
      </c>
      <c r="AJ169" s="1874"/>
      <c r="AK169" s="1875">
        <f>SUM(AK161:AL168)</f>
        <v>376.28</v>
      </c>
      <c r="AL169" s="1875"/>
      <c r="AM169" s="1744"/>
      <c r="AN169" s="1744">
        <f>SUM(AN161:AN168)</f>
        <v>93.06</v>
      </c>
      <c r="AO169" s="1744">
        <f>SUM(AO161:AO168)</f>
        <v>392.52</v>
      </c>
      <c r="AP169" s="1875">
        <f>SUM(AP161:AQ168)</f>
        <v>87.9</v>
      </c>
      <c r="AQ169" s="1875"/>
      <c r="AR169" s="1744">
        <f>SUM(AR161:AR168)</f>
        <v>3736.6899999999996</v>
      </c>
      <c r="AS169" s="1744"/>
      <c r="AT169" s="1744">
        <f>SUM(AT161:AT168)</f>
        <v>519.72</v>
      </c>
      <c r="AU169" s="1744">
        <f>SUM(AU161:AU168)</f>
        <v>0</v>
      </c>
    </row>
    <row r="173" spans="35:47">
      <c r="AJ173" s="1607" t="s">
        <v>2985</v>
      </c>
      <c r="AK173" s="1607"/>
    </row>
    <row r="174" spans="35:47">
      <c r="AJ174" s="1607" t="s">
        <v>2251</v>
      </c>
      <c r="AK174" s="1607" t="str">
        <f>IF('IND 3.1.1-3.4.3'!$F$62="Oui","et pour les contractuels","")</f>
        <v>et pour les contractuels</v>
      </c>
    </row>
  </sheetData>
  <sheetProtection algorithmName="SHA-512" hashValue="PqCGCGUJ4TR9m5COB1sF6H8PS0YWZskFhxHFRNKylMSCbZMvhu7p4XZHriJ9aYI1vmxVNfaFgcDOFOV3YcD+vg==" saltValue="G1xM1QkkLePt8bdndjFh/g==" spinCount="100000" sheet="1" objects="1" scenarios="1"/>
  <autoFilter ref="GO1:GZ59"/>
  <mergeCells count="580">
    <mergeCell ref="Y8:AB9"/>
    <mergeCell ref="AE8:AG8"/>
    <mergeCell ref="AJ8:AL8"/>
    <mergeCell ref="A1:A7"/>
    <mergeCell ref="B1:K4"/>
    <mergeCell ref="M3:Q5"/>
    <mergeCell ref="S3:W5"/>
    <mergeCell ref="Y3:AB5"/>
    <mergeCell ref="AE3:AH5"/>
    <mergeCell ref="B5:B9"/>
    <mergeCell ref="C5:K9"/>
    <mergeCell ref="AE7:AG7"/>
    <mergeCell ref="AE9:AG9"/>
    <mergeCell ref="BC9:BD10"/>
    <mergeCell ref="BE9:BF10"/>
    <mergeCell ref="BG9:BH10"/>
    <mergeCell ref="BV5:BZ12"/>
    <mergeCell ref="CA5:CE12"/>
    <mergeCell ref="Y6:AB7"/>
    <mergeCell ref="AE6:AG6"/>
    <mergeCell ref="AJ6:AK7"/>
    <mergeCell ref="AL6:AM7"/>
    <mergeCell ref="AN6:AO7"/>
    <mergeCell ref="AP6:AQ7"/>
    <mergeCell ref="AS6:AV7"/>
    <mergeCell ref="BQ6:BT7"/>
    <mergeCell ref="AX3:BA6"/>
    <mergeCell ref="BD3:BH6"/>
    <mergeCell ref="BJ3:BO6"/>
    <mergeCell ref="BQ3:BT5"/>
    <mergeCell ref="AI4:AI5"/>
    <mergeCell ref="AJ4:AV5"/>
    <mergeCell ref="BA7:BB8"/>
    <mergeCell ref="BC7:BD8"/>
    <mergeCell ref="BE7:BF8"/>
    <mergeCell ref="BG7:BH8"/>
    <mergeCell ref="BJ7:BO9"/>
    <mergeCell ref="B10:K14"/>
    <mergeCell ref="Y10:Z11"/>
    <mergeCell ref="AA10:AB11"/>
    <mergeCell ref="AE10:AG10"/>
    <mergeCell ref="AJ10:AO11"/>
    <mergeCell ref="AP10:AQ11"/>
    <mergeCell ref="Y12:Z13"/>
    <mergeCell ref="AA12:AB13"/>
    <mergeCell ref="AJ12:AO12"/>
    <mergeCell ref="AP12:AQ12"/>
    <mergeCell ref="AS12:AV13"/>
    <mergeCell ref="AX12:AZ14"/>
    <mergeCell ref="AA14:AB14"/>
    <mergeCell ref="AR10:AR11"/>
    <mergeCell ref="AS10:AV11"/>
    <mergeCell ref="BA12:BB13"/>
    <mergeCell ref="BC12:BD13"/>
    <mergeCell ref="BE12:BF13"/>
    <mergeCell ref="BG12:BH13"/>
    <mergeCell ref="AE13:AH15"/>
    <mergeCell ref="AJ13:AO13"/>
    <mergeCell ref="AP13:AQ13"/>
    <mergeCell ref="AJ14:AO14"/>
    <mergeCell ref="AP14:AQ14"/>
    <mergeCell ref="BA14:BB14"/>
    <mergeCell ref="BC14:BD14"/>
    <mergeCell ref="BE14:BF14"/>
    <mergeCell ref="BG14:BH14"/>
    <mergeCell ref="AX9:AZ11"/>
    <mergeCell ref="BA11:BB11"/>
    <mergeCell ref="BC11:BD11"/>
    <mergeCell ref="BE11:BF11"/>
    <mergeCell ref="BG11:BH11"/>
    <mergeCell ref="BA9:BB10"/>
    <mergeCell ref="BV14:CE16"/>
    <mergeCell ref="M15:Q17"/>
    <mergeCell ref="S15:W17"/>
    <mergeCell ref="AJ15:AO15"/>
    <mergeCell ref="AP15:AQ15"/>
    <mergeCell ref="AX15:AZ17"/>
    <mergeCell ref="BA15:BB16"/>
    <mergeCell ref="P18:Q18"/>
    <mergeCell ref="Y18:Z19"/>
    <mergeCell ref="AA18:AA19"/>
    <mergeCell ref="AB18:AB19"/>
    <mergeCell ref="AE18:AG18"/>
    <mergeCell ref="AX18:BH18"/>
    <mergeCell ref="BQ16:BT18"/>
    <mergeCell ref="BC15:BD16"/>
    <mergeCell ref="BE15:BF16"/>
    <mergeCell ref="BG15:BH16"/>
    <mergeCell ref="Y16:AB16"/>
    <mergeCell ref="AE16:AG16"/>
    <mergeCell ref="AJ16:AO16"/>
    <mergeCell ref="AP16:AQ16"/>
    <mergeCell ref="BJ19:BN21"/>
    <mergeCell ref="BV20:BY20"/>
    <mergeCell ref="BZ20:CA21"/>
    <mergeCell ref="BA17:BB17"/>
    <mergeCell ref="BC17:BD17"/>
    <mergeCell ref="BE17:BF17"/>
    <mergeCell ref="BG17:BH17"/>
    <mergeCell ref="L18:M18"/>
    <mergeCell ref="N18:O18"/>
    <mergeCell ref="L19:M19"/>
    <mergeCell ref="N19:O19"/>
    <mergeCell ref="P19:Q19"/>
    <mergeCell ref="AE19:AG19"/>
    <mergeCell ref="AI19:AI20"/>
    <mergeCell ref="AJ19:AV20"/>
    <mergeCell ref="AW19:AW20"/>
    <mergeCell ref="AX19:BH20"/>
    <mergeCell ref="AB20:AB21"/>
    <mergeCell ref="AE20:AG20"/>
    <mergeCell ref="L21:M21"/>
    <mergeCell ref="N21:O21"/>
    <mergeCell ref="P21:Q21"/>
    <mergeCell ref="AE21:AF21"/>
    <mergeCell ref="B20:C20"/>
    <mergeCell ref="L20:M20"/>
    <mergeCell ref="N20:O20"/>
    <mergeCell ref="P20:Q20"/>
    <mergeCell ref="Y20:Z21"/>
    <mergeCell ref="AA20:AA21"/>
    <mergeCell ref="AO21:AR21"/>
    <mergeCell ref="AS21:AV21"/>
    <mergeCell ref="B17:F19"/>
    <mergeCell ref="Y17:AB17"/>
    <mergeCell ref="AE17:AG17"/>
    <mergeCell ref="B21:C21"/>
    <mergeCell ref="BQ21:BT23"/>
    <mergeCell ref="BV21:BY21"/>
    <mergeCell ref="BV22:CE22"/>
    <mergeCell ref="AU23:AV23"/>
    <mergeCell ref="AW23:AW24"/>
    <mergeCell ref="AX23:BH24"/>
    <mergeCell ref="CB18:CE21"/>
    <mergeCell ref="BJ24:BM24"/>
    <mergeCell ref="BQ24:BS24"/>
    <mergeCell ref="BV24:BY25"/>
    <mergeCell ref="AX25:BH26"/>
    <mergeCell ref="BJ25:BM25"/>
    <mergeCell ref="BQ25:BS25"/>
    <mergeCell ref="AS22:AT22"/>
    <mergeCell ref="AU22:AV22"/>
    <mergeCell ref="BJ22:BN23"/>
    <mergeCell ref="AM23:AN23"/>
    <mergeCell ref="AO23:AP23"/>
    <mergeCell ref="AQ23:AR23"/>
    <mergeCell ref="AS23:AT23"/>
    <mergeCell ref="B22:C22"/>
    <mergeCell ref="Y22:Z23"/>
    <mergeCell ref="AA22:AA23"/>
    <mergeCell ref="AB22:AB23"/>
    <mergeCell ref="AE22:AH23"/>
    <mergeCell ref="AK22:AL22"/>
    <mergeCell ref="AI23:AJ23"/>
    <mergeCell ref="AK23:AL23"/>
    <mergeCell ref="AW21:AW22"/>
    <mergeCell ref="AX21:BH22"/>
    <mergeCell ref="AK21:AN21"/>
    <mergeCell ref="A24:A25"/>
    <mergeCell ref="B24:F25"/>
    <mergeCell ref="G24:G25"/>
    <mergeCell ref="H24:K26"/>
    <mergeCell ref="AE24:AH24"/>
    <mergeCell ref="AI24:AJ24"/>
    <mergeCell ref="AM22:AN22"/>
    <mergeCell ref="AO22:AP22"/>
    <mergeCell ref="AQ22:AR22"/>
    <mergeCell ref="M25:W26"/>
    <mergeCell ref="AI25:AJ25"/>
    <mergeCell ref="AK25:AL25"/>
    <mergeCell ref="AM25:AN25"/>
    <mergeCell ref="AO25:AP25"/>
    <mergeCell ref="AQ25:AR25"/>
    <mergeCell ref="AI26:AJ26"/>
    <mergeCell ref="AS25:AT25"/>
    <mergeCell ref="AK24:AL24"/>
    <mergeCell ref="AM24:AN24"/>
    <mergeCell ref="AO24:AP24"/>
    <mergeCell ref="AQ24:AR24"/>
    <mergeCell ref="AS24:AT24"/>
    <mergeCell ref="AU24:AV24"/>
    <mergeCell ref="AU25:AV25"/>
    <mergeCell ref="AW25:AW26"/>
    <mergeCell ref="AK26:AL26"/>
    <mergeCell ref="AM26:AN26"/>
    <mergeCell ref="AO26:AP26"/>
    <mergeCell ref="AQ26:AR26"/>
    <mergeCell ref="AU27:AV27"/>
    <mergeCell ref="CC26:CE29"/>
    <mergeCell ref="A27:A28"/>
    <mergeCell ref="B27:K28"/>
    <mergeCell ref="M27:P28"/>
    <mergeCell ref="R27:W28"/>
    <mergeCell ref="X27:X28"/>
    <mergeCell ref="AI27:AJ27"/>
    <mergeCell ref="AS26:AT26"/>
    <mergeCell ref="AU26:AV26"/>
    <mergeCell ref="BJ26:BM26"/>
    <mergeCell ref="BQ26:BS26"/>
    <mergeCell ref="BV26:BX29"/>
    <mergeCell ref="BY26:CB29"/>
    <mergeCell ref="AU28:AV28"/>
    <mergeCell ref="Y27:AC29"/>
    <mergeCell ref="AU29:AV29"/>
    <mergeCell ref="BD29:BF29"/>
    <mergeCell ref="AE30:AH30"/>
    <mergeCell ref="Y30:AC30"/>
    <mergeCell ref="AI28:AJ28"/>
    <mergeCell ref="AK28:AL28"/>
    <mergeCell ref="AM28:AN28"/>
    <mergeCell ref="AO28:AP28"/>
    <mergeCell ref="AQ28:AR28"/>
    <mergeCell ref="AS28:AT28"/>
    <mergeCell ref="AK27:AL27"/>
    <mergeCell ref="AM27:AN27"/>
    <mergeCell ref="AO27:AP27"/>
    <mergeCell ref="AQ27:AR27"/>
    <mergeCell ref="AS27:AT27"/>
    <mergeCell ref="AO29:AP29"/>
    <mergeCell ref="AQ29:AR29"/>
    <mergeCell ref="AS29:AT29"/>
    <mergeCell ref="C30:K30"/>
    <mergeCell ref="T79:W81"/>
    <mergeCell ref="AI30:AJ30"/>
    <mergeCell ref="AK30:AL30"/>
    <mergeCell ref="AM30:AN30"/>
    <mergeCell ref="C29:K29"/>
    <mergeCell ref="M29:N30"/>
    <mergeCell ref="O29:P30"/>
    <mergeCell ref="AI29:AJ29"/>
    <mergeCell ref="AK29:AL29"/>
    <mergeCell ref="AM29:AN29"/>
    <mergeCell ref="Y37:AC39"/>
    <mergeCell ref="Y32:AC34"/>
    <mergeCell ref="Y35:AC35"/>
    <mergeCell ref="X32:X33"/>
    <mergeCell ref="AE27:AH29"/>
    <mergeCell ref="A42:C42"/>
    <mergeCell ref="A43:C43"/>
    <mergeCell ref="L43:L44"/>
    <mergeCell ref="A40:C40"/>
    <mergeCell ref="A41:C41"/>
    <mergeCell ref="B48:F49"/>
    <mergeCell ref="H48:K49"/>
    <mergeCell ref="Y48:Z48"/>
    <mergeCell ref="BP30:BT31"/>
    <mergeCell ref="BU30:CE31"/>
    <mergeCell ref="C31:K31"/>
    <mergeCell ref="M31:N32"/>
    <mergeCell ref="O31:P32"/>
    <mergeCell ref="O91:S93"/>
    <mergeCell ref="AI31:AJ31"/>
    <mergeCell ref="AK31:AL31"/>
    <mergeCell ref="AM31:AN31"/>
    <mergeCell ref="AO31:AP31"/>
    <mergeCell ref="AO30:AP30"/>
    <mergeCell ref="AQ30:AR30"/>
    <mergeCell ref="AS30:AT30"/>
    <mergeCell ref="AU30:AV30"/>
    <mergeCell ref="AX30:BA32"/>
    <mergeCell ref="BJ30:BN33"/>
    <mergeCell ref="AQ31:AR31"/>
    <mergeCell ref="AS31:AT31"/>
    <mergeCell ref="AU31:AV31"/>
    <mergeCell ref="BD31:BH31"/>
    <mergeCell ref="BD32:BH33"/>
    <mergeCell ref="M33:N34"/>
    <mergeCell ref="O33:P34"/>
    <mergeCell ref="AX33:BA34"/>
    <mergeCell ref="BP33:BT34"/>
    <mergeCell ref="O94:S96"/>
    <mergeCell ref="AD34:AD35"/>
    <mergeCell ref="AE34:AH37"/>
    <mergeCell ref="AI34:AI35"/>
    <mergeCell ref="AJ34:AV36"/>
    <mergeCell ref="BJ34:BL35"/>
    <mergeCell ref="BM34:BM35"/>
    <mergeCell ref="BN34:BN35"/>
    <mergeCell ref="AJ42:AM43"/>
    <mergeCell ref="AN42:AO43"/>
    <mergeCell ref="M43:W44"/>
    <mergeCell ref="X43:X44"/>
    <mergeCell ref="Y43:AH44"/>
    <mergeCell ref="BP39:BT40"/>
    <mergeCell ref="AJ40:AM41"/>
    <mergeCell ref="AN40:AO41"/>
    <mergeCell ref="BG40:BH40"/>
    <mergeCell ref="BG41:BH41"/>
    <mergeCell ref="AE38:AH38"/>
    <mergeCell ref="BG49:BH49"/>
    <mergeCell ref="BI49:BI50"/>
    <mergeCell ref="BJ49:BS50"/>
    <mergeCell ref="M48:W49"/>
    <mergeCell ref="A35:A36"/>
    <mergeCell ref="B35:F36"/>
    <mergeCell ref="G35:G36"/>
    <mergeCell ref="H35:K36"/>
    <mergeCell ref="AX35:BA36"/>
    <mergeCell ref="M36:P37"/>
    <mergeCell ref="BJ36:BL38"/>
    <mergeCell ref="BV38:CE42"/>
    <mergeCell ref="A39:C39"/>
    <mergeCell ref="T39:W39"/>
    <mergeCell ref="AE39:AH39"/>
    <mergeCell ref="BJ39:BL41"/>
    <mergeCell ref="BM39:BM41"/>
    <mergeCell ref="BN39:BN41"/>
    <mergeCell ref="BM36:BM38"/>
    <mergeCell ref="BN36:BN38"/>
    <mergeCell ref="BP36:BT38"/>
    <mergeCell ref="A37:C37"/>
    <mergeCell ref="AJ37:AO39"/>
    <mergeCell ref="AQ37:AV38"/>
    <mergeCell ref="BD37:BH39"/>
    <mergeCell ref="A38:C38"/>
    <mergeCell ref="M38:N39"/>
    <mergeCell ref="O38:P39"/>
    <mergeCell ref="BN45:BN46"/>
    <mergeCell ref="BO45:BR46"/>
    <mergeCell ref="A46:C46"/>
    <mergeCell ref="M46:N46"/>
    <mergeCell ref="AE46:AH48"/>
    <mergeCell ref="M47:N47"/>
    <mergeCell ref="AW47:BA49"/>
    <mergeCell ref="BJ47:BM47"/>
    <mergeCell ref="BO47:BS47"/>
    <mergeCell ref="AW43:BA45"/>
    <mergeCell ref="BJ48:BM48"/>
    <mergeCell ref="BO48:BS48"/>
    <mergeCell ref="AE49:AH51"/>
    <mergeCell ref="BD49:BF49"/>
    <mergeCell ref="A44:C44"/>
    <mergeCell ref="AJ44:AM45"/>
    <mergeCell ref="AN44:AO45"/>
    <mergeCell ref="BD44:BH48"/>
    <mergeCell ref="A45:C45"/>
    <mergeCell ref="M45:N45"/>
    <mergeCell ref="Y45:AC46"/>
    <mergeCell ref="BI45:BI46"/>
    <mergeCell ref="BJ45:BM46"/>
    <mergeCell ref="AJ48:AO49"/>
    <mergeCell ref="AQ48:AV49"/>
    <mergeCell ref="CD50:CE50"/>
    <mergeCell ref="H51:J51"/>
    <mergeCell ref="R51:W57"/>
    <mergeCell ref="BJ51:BS51"/>
    <mergeCell ref="H52:J52"/>
    <mergeCell ref="M52:Q57"/>
    <mergeCell ref="AX52:BA52"/>
    <mergeCell ref="BD52:BH55"/>
    <mergeCell ref="H53:J53"/>
    <mergeCell ref="X53:X54"/>
    <mergeCell ref="H50:J50"/>
    <mergeCell ref="AJ50:AO51"/>
    <mergeCell ref="AQ50:AV51"/>
    <mergeCell ref="AX50:BA51"/>
    <mergeCell ref="BX50:BY50"/>
    <mergeCell ref="BZ50:CB50"/>
    <mergeCell ref="H54:J54"/>
    <mergeCell ref="H55:J55"/>
    <mergeCell ref="Y55:AG55"/>
    <mergeCell ref="BJ55:BS55"/>
    <mergeCell ref="Y56:AG56"/>
    <mergeCell ref="BY43:CE49"/>
    <mergeCell ref="BJ53:BS54"/>
    <mergeCell ref="B61:C61"/>
    <mergeCell ref="BV61:BX61"/>
    <mergeCell ref="J62:K62"/>
    <mergeCell ref="AL62:AO63"/>
    <mergeCell ref="AP62:AP63"/>
    <mergeCell ref="L63:L65"/>
    <mergeCell ref="AN65:AT66"/>
    <mergeCell ref="BD56:BF57"/>
    <mergeCell ref="BG56:BH57"/>
    <mergeCell ref="A57:K57"/>
    <mergeCell ref="Y57:AG57"/>
    <mergeCell ref="Y53:AH54"/>
    <mergeCell ref="AJ53:AP55"/>
    <mergeCell ref="AR53:AV55"/>
    <mergeCell ref="AX53:BA55"/>
    <mergeCell ref="BI53:BI54"/>
    <mergeCell ref="AX56:BA57"/>
    <mergeCell ref="L67:L69"/>
    <mergeCell ref="M67:O67"/>
    <mergeCell ref="AN67:AO67"/>
    <mergeCell ref="AP67:AR67"/>
    <mergeCell ref="AS67:AU67"/>
    <mergeCell ref="M68:O68"/>
    <mergeCell ref="AP68:AQ68"/>
    <mergeCell ref="AL69:AM69"/>
    <mergeCell ref="AP69:AQ69"/>
    <mergeCell ref="AJ57:AV57"/>
    <mergeCell ref="S72:U72"/>
    <mergeCell ref="AL72:AM72"/>
    <mergeCell ref="AP72:AQ72"/>
    <mergeCell ref="BV72:BX72"/>
    <mergeCell ref="S73:U73"/>
    <mergeCell ref="Y71:Z71"/>
    <mergeCell ref="Y70:Z70"/>
    <mergeCell ref="AL70:AM70"/>
    <mergeCell ref="AP70:AQ70"/>
    <mergeCell ref="AL71:AM71"/>
    <mergeCell ref="AP71:AQ71"/>
    <mergeCell ref="Y72:Z72"/>
    <mergeCell ref="AX74:BE74"/>
    <mergeCell ref="Y73:Z73"/>
    <mergeCell ref="AX75:BE75"/>
    <mergeCell ref="Y74:Z74"/>
    <mergeCell ref="AK76:AK80"/>
    <mergeCell ref="AL76:AQ80"/>
    <mergeCell ref="AX76:BE76"/>
    <mergeCell ref="Y75:Z75"/>
    <mergeCell ref="Y76:Z76"/>
    <mergeCell ref="Y77:Z77"/>
    <mergeCell ref="AK81:AK85"/>
    <mergeCell ref="AL81:AQ85"/>
    <mergeCell ref="Y82:AE82"/>
    <mergeCell ref="Y84:Y92"/>
    <mergeCell ref="Z84:Z86"/>
    <mergeCell ref="AA84:AA85"/>
    <mergeCell ref="AB84:AD84"/>
    <mergeCell ref="AB85:AD85"/>
    <mergeCell ref="AB86:AD86"/>
    <mergeCell ref="M102:P102"/>
    <mergeCell ref="BQ102:BR102"/>
    <mergeCell ref="BS108:BT108"/>
    <mergeCell ref="AK86:AK89"/>
    <mergeCell ref="AL86:AQ89"/>
    <mergeCell ref="Z87:Z92"/>
    <mergeCell ref="AB87:AD87"/>
    <mergeCell ref="AB88:AD88"/>
    <mergeCell ref="AB89:AD89"/>
    <mergeCell ref="AB90:AD90"/>
    <mergeCell ref="AB91:AD91"/>
    <mergeCell ref="AB92:AD92"/>
    <mergeCell ref="BS109:BT109"/>
    <mergeCell ref="Y110:Y111"/>
    <mergeCell ref="Z110:AF110"/>
    <mergeCell ref="Z111:AF111"/>
    <mergeCell ref="BK111:BL111"/>
    <mergeCell ref="Y113:AG113"/>
    <mergeCell ref="Y93:Y104"/>
    <mergeCell ref="BJ96:BL97"/>
    <mergeCell ref="BQ100:BR101"/>
    <mergeCell ref="M133:M134"/>
    <mergeCell ref="N133:O133"/>
    <mergeCell ref="P133:Q133"/>
    <mergeCell ref="R133:S133"/>
    <mergeCell ref="Z138:Z139"/>
    <mergeCell ref="AA138:AB139"/>
    <mergeCell ref="AB123:AD123"/>
    <mergeCell ref="AB124:AD124"/>
    <mergeCell ref="AB125:AD125"/>
    <mergeCell ref="Y128:Z130"/>
    <mergeCell ref="AA128:AA130"/>
    <mergeCell ref="M131:S131"/>
    <mergeCell ref="Y115:Y125"/>
    <mergeCell ref="Z115:Z124"/>
    <mergeCell ref="AB115:AD115"/>
    <mergeCell ref="AB116:AD116"/>
    <mergeCell ref="AB117:AD117"/>
    <mergeCell ref="AB118:AD118"/>
    <mergeCell ref="AB119:AD119"/>
    <mergeCell ref="AB120:AD120"/>
    <mergeCell ref="AB121:AD121"/>
    <mergeCell ref="AB122:AD122"/>
    <mergeCell ref="AH140:AH141"/>
    <mergeCell ref="X142:Y143"/>
    <mergeCell ref="Z142:Z143"/>
    <mergeCell ref="AA142:AB143"/>
    <mergeCell ref="AC142:AD143"/>
    <mergeCell ref="AE142:AF143"/>
    <mergeCell ref="AG142:AG143"/>
    <mergeCell ref="AH142:AH143"/>
    <mergeCell ref="AC138:AD139"/>
    <mergeCell ref="AE138:AF139"/>
    <mergeCell ref="AG138:AG139"/>
    <mergeCell ref="AH138:AH139"/>
    <mergeCell ref="X140:Y141"/>
    <mergeCell ref="Z140:Z141"/>
    <mergeCell ref="AA140:AB141"/>
    <mergeCell ref="AC140:AD141"/>
    <mergeCell ref="AE140:AF141"/>
    <mergeCell ref="AG140:AG141"/>
    <mergeCell ref="AG144:AG145"/>
    <mergeCell ref="AH144:AH145"/>
    <mergeCell ref="M145:M146"/>
    <mergeCell ref="N145:O145"/>
    <mergeCell ref="P145:Q145"/>
    <mergeCell ref="AK146:AN146"/>
    <mergeCell ref="M143:Q143"/>
    <mergeCell ref="X144:Y145"/>
    <mergeCell ref="Z144:Z145"/>
    <mergeCell ref="AA144:AB145"/>
    <mergeCell ref="AC144:AD145"/>
    <mergeCell ref="AE144:AF145"/>
    <mergeCell ref="AO146:AQ146"/>
    <mergeCell ref="AR146:AU146"/>
    <mergeCell ref="AK147:AL147"/>
    <mergeCell ref="AP147:AQ147"/>
    <mergeCell ref="AT147:AU147"/>
    <mergeCell ref="AI148:AJ148"/>
    <mergeCell ref="AK148:AL148"/>
    <mergeCell ref="AP148:AQ148"/>
    <mergeCell ref="AT148:AU148"/>
    <mergeCell ref="AI149:AJ149"/>
    <mergeCell ref="AK149:AL149"/>
    <mergeCell ref="AP149:AQ149"/>
    <mergeCell ref="AT149:AU149"/>
    <mergeCell ref="M150:Q150"/>
    <mergeCell ref="AI150:AJ150"/>
    <mergeCell ref="AK150:AL150"/>
    <mergeCell ref="AP150:AQ150"/>
    <mergeCell ref="AT150:AU150"/>
    <mergeCell ref="M154:P154"/>
    <mergeCell ref="AI154:AJ154"/>
    <mergeCell ref="AK154:AL154"/>
    <mergeCell ref="AP154:AQ154"/>
    <mergeCell ref="AT154:AU154"/>
    <mergeCell ref="AI151:AJ151"/>
    <mergeCell ref="AK151:AL151"/>
    <mergeCell ref="AP151:AQ151"/>
    <mergeCell ref="AT151:AU151"/>
    <mergeCell ref="M152:P152"/>
    <mergeCell ref="AI152:AJ152"/>
    <mergeCell ref="AK152:AL152"/>
    <mergeCell ref="AP152:AQ152"/>
    <mergeCell ref="AT152:AU152"/>
    <mergeCell ref="AI155:AJ155"/>
    <mergeCell ref="AK155:AL155"/>
    <mergeCell ref="AP155:AQ155"/>
    <mergeCell ref="AT155:AU155"/>
    <mergeCell ref="AI156:AJ156"/>
    <mergeCell ref="AK156:AL156"/>
    <mergeCell ref="AP156:AQ156"/>
    <mergeCell ref="AI153:AJ153"/>
    <mergeCell ref="AK153:AL153"/>
    <mergeCell ref="AP153:AQ153"/>
    <mergeCell ref="AT153:AU153"/>
    <mergeCell ref="AI161:AJ161"/>
    <mergeCell ref="AK161:AL161"/>
    <mergeCell ref="AP161:AQ161"/>
    <mergeCell ref="AT161:AU161"/>
    <mergeCell ref="AI162:AJ162"/>
    <mergeCell ref="AK162:AL162"/>
    <mergeCell ref="AP162:AQ162"/>
    <mergeCell ref="AT162:AU162"/>
    <mergeCell ref="AK159:AN159"/>
    <mergeCell ref="AO159:AQ159"/>
    <mergeCell ref="AR159:AU159"/>
    <mergeCell ref="AK160:AL160"/>
    <mergeCell ref="AP160:AQ160"/>
    <mergeCell ref="AT160:AU160"/>
    <mergeCell ref="AI165:AJ165"/>
    <mergeCell ref="AK165:AL165"/>
    <mergeCell ref="AP165:AQ165"/>
    <mergeCell ref="AT165:AU165"/>
    <mergeCell ref="AI166:AJ166"/>
    <mergeCell ref="AK166:AL166"/>
    <mergeCell ref="AP166:AQ166"/>
    <mergeCell ref="AT166:AU166"/>
    <mergeCell ref="AI163:AJ163"/>
    <mergeCell ref="AK163:AL163"/>
    <mergeCell ref="AP163:AQ163"/>
    <mergeCell ref="AT163:AU163"/>
    <mergeCell ref="AI164:AJ164"/>
    <mergeCell ref="AK164:AL164"/>
    <mergeCell ref="AP164:AQ164"/>
    <mergeCell ref="AT164:AU164"/>
    <mergeCell ref="AI169:AJ169"/>
    <mergeCell ref="AK169:AL169"/>
    <mergeCell ref="AP169:AQ169"/>
    <mergeCell ref="AI167:AJ167"/>
    <mergeCell ref="AK167:AL167"/>
    <mergeCell ref="AP167:AQ167"/>
    <mergeCell ref="AT167:AU167"/>
    <mergeCell ref="AI168:AJ168"/>
    <mergeCell ref="AK168:AL168"/>
    <mergeCell ref="AP168:AQ168"/>
    <mergeCell ref="AT168:AU168"/>
  </mergeCells>
  <conditionalFormatting sqref="AA18:AA19">
    <cfRule type="iconSet" priority="5">
      <iconSet iconSet="3ArrowsGray">
        <cfvo type="percent" val="0"/>
        <cfvo type="percent" val="0"/>
        <cfvo type="percent" val="0.01"/>
      </iconSet>
    </cfRule>
  </conditionalFormatting>
  <conditionalFormatting sqref="BD3">
    <cfRule type="expression" dxfId="2" priority="4" stopIfTrue="1">
      <formula>$BD$3=$AX$3</formula>
    </cfRule>
  </conditionalFormatting>
  <conditionalFormatting sqref="BA11:BH11 BA14:BH14 BA17:BH17">
    <cfRule type="dataBar" priority="3">
      <dataBar>
        <cfvo type="min" val="0"/>
        <cfvo type="max" val="0"/>
        <color rgb="FFFFC000"/>
      </dataBar>
      <extLst>
        <ext xmlns:x14="http://schemas.microsoft.com/office/spreadsheetml/2009/9/main" uri="{B025F937-C7B1-47D3-B67F-A62EFF666E3E}">
          <x14:id>{B5900B1D-F4AA-4931-ABE0-6E01457F2D81}</x14:id>
        </ext>
      </extLst>
    </cfRule>
  </conditionalFormatting>
  <conditionalFormatting sqref="BM34:BM35">
    <cfRule type="expression" dxfId="1" priority="2">
      <formula>BM36=""</formula>
    </cfRule>
  </conditionalFormatting>
  <conditionalFormatting sqref="BN34:BN35">
    <cfRule type="expression" dxfId="0" priority="1">
      <formula>BN36=""</formula>
    </cfRule>
  </conditionalFormatting>
  <dataValidations disablePrompts="1" count="1">
    <dataValidation type="whole" allowBlank="1" showInputMessage="1" showErrorMessage="1" errorTitle="Erreur de saisie" error="Vous devez saisir une valeur entière" sqref="N157:O160 N147:Q148 N136:S139 N126:O127 N121:O123 N113:O116 N105:O110">
      <formula1>0</formula1>
      <formula2>999999999999</formula2>
    </dataValidation>
  </dataValidations>
  <pageMargins left="0.39370078740157483" right="0.39370078740157483" top="0.39370078740157483" bottom="0.39370078740157483" header="0" footer="0.31496062992125984"/>
  <pageSetup paperSize="9" orientation="portrait" r:id="rId1"/>
  <headerFooter>
    <oddFooter>&amp;R&amp;"-,Italique"&amp;9&amp;K00-033&amp;P</oddFooter>
  </headerFooter>
  <colBreaks count="1" manualBreakCount="1">
    <brk id="11" max="1048575" man="1"/>
  </colBreaks>
  <drawing r:id="rId2"/>
  <extLst>
    <ext xmlns:x14="http://schemas.microsoft.com/office/spreadsheetml/2009/9/main" uri="{78C0D931-6437-407d-A8EE-F0AAD7539E65}">
      <x14:conditionalFormattings>
        <x14:conditionalFormatting xmlns:xm="http://schemas.microsoft.com/office/excel/2006/main">
          <x14:cfRule type="dataBar" id="{B5900B1D-F4AA-4931-ABE0-6E01457F2D81}">
            <x14:dataBar negativeBarColorSameAsPositive="1" axisPosition="none">
              <x14:cfvo type="autoMin"/>
              <x14:cfvo type="autoMax"/>
            </x14:dataBar>
          </x14:cfRule>
          <xm:sqref>BA11:BH11 BA14:BH14 BA17:BH17</xm:sqref>
        </x14:conditionalFormatting>
      </x14:conditionalFormattings>
    </ext>
  </extLst>
</worksheet>
</file>

<file path=xl/worksheets/sheet20.xml><?xml version="1.0" encoding="utf-8"?>
<worksheet xmlns="http://schemas.openxmlformats.org/spreadsheetml/2006/main" xmlns:r="http://schemas.openxmlformats.org/officeDocument/2006/relationships">
  <sheetPr codeName="Feuil12">
    <pageSetUpPr fitToPage="1"/>
  </sheetPr>
  <dimension ref="A1:H72"/>
  <sheetViews>
    <sheetView showGridLines="0" zoomScaleNormal="100" workbookViewId="0"/>
  </sheetViews>
  <sheetFormatPr baseColWidth="10" defaultColWidth="10.85546875" defaultRowHeight="12.75" customHeight="1"/>
  <cols>
    <col min="2" max="2" width="27.42578125" customWidth="1"/>
  </cols>
  <sheetData>
    <row r="1" spans="1:8" ht="17.100000000000001" customHeight="1">
      <c r="A1" s="137"/>
      <c r="B1" s="137"/>
      <c r="C1" s="2245" t="s">
        <v>958</v>
      </c>
      <c r="D1" s="2245"/>
      <c r="E1" s="138"/>
      <c r="F1" s="137"/>
      <c r="G1" s="1"/>
      <c r="H1" s="1"/>
    </row>
    <row r="2" spans="1:8" ht="13.5" thickBot="1">
      <c r="A2" s="138"/>
      <c r="B2" s="138"/>
      <c r="C2" s="138"/>
      <c r="D2" s="138"/>
      <c r="E2" s="138"/>
      <c r="F2" s="138"/>
      <c r="G2" s="1"/>
      <c r="H2" s="1"/>
    </row>
    <row r="3" spans="1:8" ht="25.5" customHeight="1" thickBot="1">
      <c r="A3" s="2292" t="s">
        <v>2404</v>
      </c>
      <c r="B3" s="2292"/>
      <c r="C3" s="2292"/>
      <c r="D3" s="2292"/>
      <c r="E3" s="2292"/>
      <c r="F3" s="2292"/>
      <c r="G3" s="2292"/>
      <c r="H3" s="2292"/>
    </row>
    <row r="4" spans="1:8">
      <c r="A4" s="138"/>
      <c r="B4" s="138"/>
      <c r="C4" s="138"/>
      <c r="D4" s="138"/>
      <c r="E4" s="138"/>
      <c r="F4" s="138"/>
      <c r="G4" s="1"/>
      <c r="H4" s="538"/>
    </row>
    <row r="5" spans="1:8" ht="50.25" customHeight="1">
      <c r="A5" s="2293" t="s">
        <v>2470</v>
      </c>
      <c r="B5" s="2293"/>
      <c r="C5" s="2293"/>
      <c r="D5" s="2293"/>
      <c r="E5" s="2293"/>
      <c r="F5" s="2251"/>
      <c r="G5" s="2251"/>
      <c r="H5" s="2251"/>
    </row>
    <row r="6" spans="1:8" ht="12.75" customHeight="1">
      <c r="A6" s="872"/>
      <c r="B6" s="872"/>
      <c r="C6" s="872"/>
      <c r="D6" s="872"/>
      <c r="E6" s="872"/>
      <c r="F6" s="57"/>
      <c r="G6" s="57"/>
      <c r="H6" s="57"/>
    </row>
    <row r="7" spans="1:8" ht="12.75" customHeight="1">
      <c r="A7" s="2295" t="s">
        <v>1978</v>
      </c>
      <c r="B7" s="2295"/>
      <c r="C7" s="2295"/>
      <c r="D7" s="2295"/>
      <c r="E7" s="2295"/>
      <c r="F7" s="2295"/>
      <c r="G7" s="2295"/>
      <c r="H7" s="2295"/>
    </row>
    <row r="8" spans="1:8" ht="12.75" customHeight="1">
      <c r="A8" s="2296" t="s">
        <v>1169</v>
      </c>
      <c r="B8" s="2296"/>
      <c r="C8" s="2296"/>
      <c r="D8" s="2296"/>
      <c r="E8" s="2296"/>
      <c r="F8" s="2296"/>
      <c r="G8" s="2296"/>
      <c r="H8" s="2296"/>
    </row>
    <row r="9" spans="1:8" ht="12.75" customHeight="1">
      <c r="A9" s="872"/>
      <c r="B9" s="872"/>
      <c r="C9" s="872"/>
      <c r="D9" s="872"/>
      <c r="E9" s="872"/>
      <c r="F9" s="57"/>
      <c r="G9" s="57"/>
      <c r="H9" s="57"/>
    </row>
    <row r="10" spans="1:8" ht="38.25" customHeight="1">
      <c r="A10" s="2294" t="s">
        <v>354</v>
      </c>
      <c r="B10" s="2289"/>
      <c r="C10" s="2289"/>
      <c r="D10" s="2289"/>
      <c r="E10" s="2289"/>
      <c r="F10" s="2289"/>
      <c r="G10" s="2289"/>
      <c r="H10" s="2289"/>
    </row>
    <row r="11" spans="1:8" ht="25.5" customHeight="1">
      <c r="A11" s="2288" t="s">
        <v>296</v>
      </c>
      <c r="B11" s="2289"/>
      <c r="C11" s="2289"/>
      <c r="D11" s="2289"/>
      <c r="E11" s="2289"/>
      <c r="F11" s="2289"/>
      <c r="G11" s="2289"/>
      <c r="H11" s="2289"/>
    </row>
    <row r="12" spans="1:8" ht="12.75" customHeight="1">
      <c r="A12" s="2288" t="s">
        <v>297</v>
      </c>
      <c r="B12" s="2289"/>
      <c r="C12" s="2289"/>
      <c r="D12" s="2289"/>
      <c r="E12" s="2289"/>
      <c r="F12" s="2289"/>
      <c r="G12" s="2289"/>
      <c r="H12" s="2289"/>
    </row>
    <row r="13" spans="1:8" ht="25.5" customHeight="1">
      <c r="A13" s="2288" t="s">
        <v>298</v>
      </c>
      <c r="B13" s="2289"/>
      <c r="C13" s="2289"/>
      <c r="D13" s="2289"/>
      <c r="E13" s="2289"/>
      <c r="F13" s="2289"/>
      <c r="G13" s="2289"/>
      <c r="H13" s="2289"/>
    </row>
    <row r="14" spans="1:8" ht="38.450000000000003" customHeight="1">
      <c r="A14" s="2301" t="s">
        <v>1374</v>
      </c>
      <c r="B14" s="2302"/>
      <c r="C14" s="2302"/>
      <c r="D14" s="2302"/>
      <c r="E14" s="2302"/>
      <c r="F14" s="2302"/>
      <c r="G14" s="2302"/>
      <c r="H14" s="2302"/>
    </row>
    <row r="15" spans="1:8" ht="12.75" customHeight="1">
      <c r="A15" s="876"/>
      <c r="B15" s="58"/>
      <c r="C15" s="58"/>
      <c r="D15" s="58"/>
      <c r="E15" s="58"/>
      <c r="F15" s="58"/>
      <c r="G15" s="58"/>
      <c r="H15" s="58"/>
    </row>
    <row r="16" spans="1:8" ht="12.75" customHeight="1">
      <c r="A16" s="2293" t="s">
        <v>1369</v>
      </c>
      <c r="B16" s="2303"/>
      <c r="C16" s="2303"/>
      <c r="D16" s="2303"/>
      <c r="E16" s="2303"/>
      <c r="F16" s="2303"/>
      <c r="G16" s="2303"/>
      <c r="H16" s="2303"/>
    </row>
    <row r="17" spans="1:8" ht="12.75" customHeight="1">
      <c r="A17" s="2290" t="s">
        <v>1370</v>
      </c>
      <c r="B17" s="2291"/>
      <c r="C17" s="2291"/>
      <c r="D17" s="2291"/>
      <c r="E17" s="2291"/>
      <c r="F17" s="2291"/>
      <c r="G17" s="2291"/>
      <c r="H17" s="2291"/>
    </row>
    <row r="18" spans="1:8" ht="12.75" customHeight="1">
      <c r="A18" s="2290" t="s">
        <v>1373</v>
      </c>
      <c r="B18" s="2291"/>
      <c r="C18" s="2291"/>
      <c r="D18" s="2291"/>
      <c r="E18" s="2291"/>
      <c r="F18" s="2291"/>
      <c r="G18" s="2291"/>
      <c r="H18" s="2291"/>
    </row>
    <row r="19" spans="1:8" ht="25.5" customHeight="1">
      <c r="A19" s="2290" t="s">
        <v>1375</v>
      </c>
      <c r="B19" s="2305"/>
      <c r="C19" s="2305"/>
      <c r="D19" s="2305"/>
      <c r="E19" s="2305"/>
      <c r="F19" s="2305"/>
      <c r="G19" s="2305"/>
      <c r="H19" s="2305"/>
    </row>
    <row r="20" spans="1:8" ht="25.5" customHeight="1">
      <c r="A20" s="2290" t="s">
        <v>1376</v>
      </c>
      <c r="B20" s="2291"/>
      <c r="C20" s="2291"/>
      <c r="D20" s="2291"/>
      <c r="E20" s="2291"/>
      <c r="F20" s="2291"/>
      <c r="G20" s="2291"/>
      <c r="H20" s="2291"/>
    </row>
    <row r="21" spans="1:8" ht="12.75" customHeight="1">
      <c r="A21" s="876"/>
      <c r="B21" s="58"/>
      <c r="C21" s="58"/>
      <c r="D21" s="58"/>
      <c r="E21" s="58"/>
      <c r="F21" s="58"/>
      <c r="G21" s="58"/>
      <c r="H21" s="58"/>
    </row>
    <row r="22" spans="1:8" ht="12.75" customHeight="1">
      <c r="A22" s="2293" t="s">
        <v>73</v>
      </c>
      <c r="B22" s="2303"/>
      <c r="C22" s="2303"/>
      <c r="D22" s="2303"/>
      <c r="E22" s="2303"/>
      <c r="F22" s="2303"/>
      <c r="G22" s="2303"/>
      <c r="H22" s="2303"/>
    </row>
    <row r="23" spans="1:8" ht="12.75" customHeight="1">
      <c r="A23" s="2290" t="s">
        <v>1371</v>
      </c>
      <c r="B23" s="2291"/>
      <c r="C23" s="2291"/>
      <c r="D23" s="2291"/>
      <c r="E23" s="2291"/>
      <c r="F23" s="2291"/>
      <c r="G23" s="2291"/>
      <c r="H23" s="2291"/>
    </row>
    <row r="24" spans="1:8" ht="12.75" customHeight="1">
      <c r="A24" s="2290" t="s">
        <v>1372</v>
      </c>
      <c r="B24" s="2291"/>
      <c r="C24" s="2291"/>
      <c r="D24" s="2291"/>
      <c r="E24" s="2291"/>
      <c r="F24" s="2291"/>
      <c r="G24" s="2291"/>
      <c r="H24" s="2291"/>
    </row>
    <row r="25" spans="1:8" ht="12.75" customHeight="1">
      <c r="A25" s="872"/>
      <c r="B25" s="872"/>
      <c r="C25" s="872"/>
      <c r="D25" s="872"/>
      <c r="E25" s="872"/>
      <c r="F25" s="57"/>
      <c r="G25" s="57"/>
      <c r="H25" s="57"/>
    </row>
    <row r="26" spans="1:8" ht="12.75" customHeight="1">
      <c r="A26" s="871"/>
      <c r="B26" s="871"/>
      <c r="C26" s="871"/>
      <c r="D26" s="871"/>
      <c r="E26" s="871"/>
      <c r="F26" s="57"/>
      <c r="G26" s="57"/>
      <c r="H26" s="57"/>
    </row>
    <row r="27" spans="1:8">
      <c r="A27" s="138"/>
      <c r="B27" s="2304"/>
      <c r="C27" s="2304"/>
      <c r="D27" s="2304"/>
      <c r="E27" s="138"/>
      <c r="F27" s="138"/>
      <c r="G27" s="414"/>
      <c r="H27" s="414"/>
    </row>
    <row r="28" spans="1:8">
      <c r="A28" s="414"/>
      <c r="B28" s="414"/>
      <c r="C28" s="1267">
        <v>1</v>
      </c>
      <c r="D28" s="1267">
        <v>2</v>
      </c>
      <c r="E28" s="1199" t="s">
        <v>1307</v>
      </c>
      <c r="F28" s="414"/>
      <c r="G28" s="414"/>
      <c r="H28" s="414"/>
    </row>
    <row r="29" spans="1:8" ht="52.5" customHeight="1">
      <c r="A29" s="414"/>
      <c r="B29" s="2298" t="s">
        <v>611</v>
      </c>
      <c r="C29" s="2299"/>
      <c r="D29" s="2300"/>
      <c r="E29" s="748"/>
      <c r="F29" s="172"/>
      <c r="G29" s="414"/>
      <c r="H29" s="414"/>
    </row>
    <row r="30" spans="1:8" ht="12.75" customHeight="1">
      <c r="A30" s="1"/>
      <c r="B30" s="820"/>
      <c r="C30" s="2297" t="s">
        <v>2471</v>
      </c>
      <c r="D30" s="2297"/>
      <c r="E30" s="414"/>
      <c r="F30" s="1"/>
      <c r="G30" s="1"/>
      <c r="H30" s="1"/>
    </row>
    <row r="31" spans="1:8" ht="25.5">
      <c r="A31" s="1"/>
      <c r="B31" s="139" t="s">
        <v>1167</v>
      </c>
      <c r="C31" s="820" t="s">
        <v>1469</v>
      </c>
      <c r="D31" s="820" t="s">
        <v>1470</v>
      </c>
      <c r="E31" s="1267" t="s">
        <v>1994</v>
      </c>
      <c r="F31" s="1267" t="s">
        <v>1995</v>
      </c>
      <c r="G31" s="1"/>
      <c r="H31" s="1"/>
    </row>
    <row r="32" spans="1:8">
      <c r="A32" s="1"/>
      <c r="B32" s="1076" t="s">
        <v>1915</v>
      </c>
      <c r="C32" s="1075">
        <f>+SUM(C33:C35)</f>
        <v>239.25</v>
      </c>
      <c r="D32" s="1075">
        <f>+SUM(D33:D35)</f>
        <v>852.95</v>
      </c>
      <c r="E32" s="1267" t="s">
        <v>1852</v>
      </c>
      <c r="F32" s="1268" t="s">
        <v>1571</v>
      </c>
      <c r="G32" s="1"/>
      <c r="H32" s="1"/>
    </row>
    <row r="33" spans="1:8">
      <c r="A33" s="1"/>
      <c r="B33" s="841" t="s">
        <v>714</v>
      </c>
      <c r="C33" s="840">
        <v>56.42</v>
      </c>
      <c r="D33" s="840">
        <v>75.099999999999994</v>
      </c>
      <c r="E33" s="1267" t="s">
        <v>1852</v>
      </c>
      <c r="F33" s="1268" t="s">
        <v>1913</v>
      </c>
      <c r="G33" s="968"/>
      <c r="H33" s="1"/>
    </row>
    <row r="34" spans="1:8">
      <c r="A34" s="1"/>
      <c r="B34" s="841" t="s">
        <v>715</v>
      </c>
      <c r="C34" s="840">
        <v>21.13</v>
      </c>
      <c r="D34" s="840">
        <v>107</v>
      </c>
      <c r="E34" s="1267" t="s">
        <v>1852</v>
      </c>
      <c r="F34" s="1268" t="s">
        <v>936</v>
      </c>
      <c r="G34" s="968"/>
      <c r="H34" s="1"/>
    </row>
    <row r="35" spans="1:8">
      <c r="A35" s="1"/>
      <c r="B35" s="841" t="s">
        <v>670</v>
      </c>
      <c r="C35" s="840">
        <v>161.69999999999999</v>
      </c>
      <c r="D35" s="840">
        <v>670.85</v>
      </c>
      <c r="E35" s="1267" t="s">
        <v>1852</v>
      </c>
      <c r="F35" s="1268" t="s">
        <v>1996</v>
      </c>
      <c r="G35" s="968"/>
      <c r="H35" s="1"/>
    </row>
    <row r="36" spans="1:8">
      <c r="A36" s="1"/>
      <c r="B36" s="1077" t="s">
        <v>673</v>
      </c>
      <c r="C36" s="1075">
        <f>SUM(C37:C39)</f>
        <v>809.11</v>
      </c>
      <c r="D36" s="1075">
        <f>SUM(D37:D39)</f>
        <v>1066.6899999999998</v>
      </c>
      <c r="E36" s="1267" t="s">
        <v>1249</v>
      </c>
      <c r="F36" s="1268" t="s">
        <v>1571</v>
      </c>
      <c r="G36" s="1"/>
      <c r="H36" s="1"/>
    </row>
    <row r="37" spans="1:8">
      <c r="A37" s="1"/>
      <c r="B37" s="841" t="s">
        <v>714</v>
      </c>
      <c r="C37" s="840">
        <v>26.2</v>
      </c>
      <c r="D37" s="840">
        <v>17.170000000000002</v>
      </c>
      <c r="E37" s="1267" t="s">
        <v>1249</v>
      </c>
      <c r="F37" s="1268" t="s">
        <v>1913</v>
      </c>
      <c r="G37" s="1"/>
      <c r="H37" s="1"/>
    </row>
    <row r="38" spans="1:8">
      <c r="A38" s="1"/>
      <c r="B38" s="841" t="s">
        <v>715</v>
      </c>
      <c r="C38" s="840">
        <v>51.3</v>
      </c>
      <c r="D38" s="840">
        <v>10.9</v>
      </c>
      <c r="E38" s="1267" t="s">
        <v>1249</v>
      </c>
      <c r="F38" s="1268" t="s">
        <v>936</v>
      </c>
      <c r="G38" s="1"/>
      <c r="H38" s="1"/>
    </row>
    <row r="39" spans="1:8">
      <c r="A39" s="1"/>
      <c r="B39" s="841" t="s">
        <v>670</v>
      </c>
      <c r="C39" s="840">
        <v>731.61</v>
      </c>
      <c r="D39" s="840">
        <v>1038.6199999999999</v>
      </c>
      <c r="E39" s="1267" t="s">
        <v>1249</v>
      </c>
      <c r="F39" s="1268" t="s">
        <v>1996</v>
      </c>
      <c r="G39" s="1"/>
      <c r="H39" s="1"/>
    </row>
    <row r="40" spans="1:8">
      <c r="A40" s="1"/>
      <c r="B40" s="1078" t="s">
        <v>1250</v>
      </c>
      <c r="C40" s="1075">
        <f>SUM(C41:C43)</f>
        <v>85.49</v>
      </c>
      <c r="D40" s="1075">
        <f>SUM(D41:D43)</f>
        <v>160.93</v>
      </c>
      <c r="E40" s="1267" t="s">
        <v>375</v>
      </c>
      <c r="F40" s="1268" t="s">
        <v>1571</v>
      </c>
      <c r="G40" s="1"/>
      <c r="H40" s="1"/>
    </row>
    <row r="41" spans="1:8">
      <c r="A41" s="1"/>
      <c r="B41" s="841" t="s">
        <v>714</v>
      </c>
      <c r="C41" s="840">
        <v>44.89</v>
      </c>
      <c r="D41" s="840">
        <v>49.56</v>
      </c>
      <c r="E41" s="1267" t="s">
        <v>375</v>
      </c>
      <c r="F41" s="1268" t="s">
        <v>1913</v>
      </c>
      <c r="G41" s="1"/>
      <c r="H41" s="1"/>
    </row>
    <row r="42" spans="1:8">
      <c r="A42" s="1"/>
      <c r="B42" s="841" t="s">
        <v>715</v>
      </c>
      <c r="C42" s="840">
        <v>15.8</v>
      </c>
      <c r="D42" s="840">
        <v>47.69</v>
      </c>
      <c r="E42" s="1267" t="s">
        <v>375</v>
      </c>
      <c r="F42" s="1268" t="s">
        <v>936</v>
      </c>
      <c r="G42" s="1"/>
      <c r="H42" s="1"/>
    </row>
    <row r="43" spans="1:8">
      <c r="A43" s="1"/>
      <c r="B43" s="841" t="s">
        <v>670</v>
      </c>
      <c r="C43" s="840">
        <v>24.8</v>
      </c>
      <c r="D43" s="840">
        <v>63.68</v>
      </c>
      <c r="E43" s="1267" t="s">
        <v>375</v>
      </c>
      <c r="F43" s="1268" t="s">
        <v>1996</v>
      </c>
      <c r="G43" s="1"/>
      <c r="H43" s="1"/>
    </row>
    <row r="44" spans="1:8">
      <c r="A44" s="1"/>
      <c r="B44" s="1077" t="s">
        <v>376</v>
      </c>
      <c r="C44" s="1075">
        <f>SUM(C45:C47)</f>
        <v>57.72</v>
      </c>
      <c r="D44" s="1075">
        <f>SUM(D45:D47)</f>
        <v>25.1</v>
      </c>
      <c r="E44" s="1267" t="s">
        <v>1194</v>
      </c>
      <c r="F44" s="1268" t="s">
        <v>1571</v>
      </c>
      <c r="G44" s="1"/>
      <c r="H44" s="1"/>
    </row>
    <row r="45" spans="1:8">
      <c r="A45" s="1"/>
      <c r="B45" s="841" t="s">
        <v>714</v>
      </c>
      <c r="C45" s="840">
        <v>3</v>
      </c>
      <c r="D45" s="840">
        <v>0</v>
      </c>
      <c r="E45" s="1267" t="s">
        <v>1194</v>
      </c>
      <c r="F45" s="1268" t="s">
        <v>1913</v>
      </c>
      <c r="G45" s="1"/>
      <c r="H45" s="1"/>
    </row>
    <row r="46" spans="1:8">
      <c r="A46" s="1"/>
      <c r="B46" s="841" t="s">
        <v>715</v>
      </c>
      <c r="C46" s="840">
        <v>46.72</v>
      </c>
      <c r="D46" s="840">
        <v>24.1</v>
      </c>
      <c r="E46" s="1267" t="s">
        <v>1194</v>
      </c>
      <c r="F46" s="1268" t="s">
        <v>936</v>
      </c>
      <c r="G46" s="1"/>
      <c r="H46" s="1"/>
    </row>
    <row r="47" spans="1:8">
      <c r="A47" s="1"/>
      <c r="B47" s="841" t="s">
        <v>670</v>
      </c>
      <c r="C47" s="840">
        <v>8</v>
      </c>
      <c r="D47" s="840">
        <v>1</v>
      </c>
      <c r="E47" s="1267" t="s">
        <v>1194</v>
      </c>
      <c r="F47" s="1268" t="s">
        <v>1996</v>
      </c>
      <c r="G47" s="1"/>
      <c r="H47" s="1"/>
    </row>
    <row r="48" spans="1:8">
      <c r="A48" s="1"/>
      <c r="B48" s="1077" t="s">
        <v>1195</v>
      </c>
      <c r="C48" s="1075">
        <f>SUM(C49:C51)</f>
        <v>1</v>
      </c>
      <c r="D48" s="1075">
        <f>SUM(D49:D51)</f>
        <v>374.89</v>
      </c>
      <c r="E48" s="1267" t="s">
        <v>1573</v>
      </c>
      <c r="F48" s="1268" t="s">
        <v>1571</v>
      </c>
      <c r="G48" s="1"/>
      <c r="H48" s="1"/>
    </row>
    <row r="49" spans="1:8">
      <c r="A49" s="1"/>
      <c r="B49" s="841" t="s">
        <v>714</v>
      </c>
      <c r="C49" s="840">
        <v>1</v>
      </c>
      <c r="D49" s="840">
        <v>50.46</v>
      </c>
      <c r="E49" s="1267" t="s">
        <v>1573</v>
      </c>
      <c r="F49" s="1268" t="s">
        <v>1913</v>
      </c>
      <c r="G49" s="1"/>
      <c r="H49" s="1"/>
    </row>
    <row r="50" spans="1:8">
      <c r="A50" s="1"/>
      <c r="B50" s="841" t="s">
        <v>715</v>
      </c>
      <c r="C50" s="840">
        <v>0</v>
      </c>
      <c r="D50" s="840">
        <v>2</v>
      </c>
      <c r="E50" s="1267" t="s">
        <v>1573</v>
      </c>
      <c r="F50" s="1268" t="s">
        <v>936</v>
      </c>
      <c r="G50" s="1"/>
      <c r="H50" s="1"/>
    </row>
    <row r="51" spans="1:8">
      <c r="A51" s="1"/>
      <c r="B51" s="841" t="s">
        <v>670</v>
      </c>
      <c r="C51" s="840">
        <v>0</v>
      </c>
      <c r="D51" s="840">
        <v>322.43</v>
      </c>
      <c r="E51" s="1267" t="s">
        <v>1573</v>
      </c>
      <c r="F51" s="1268" t="s">
        <v>1996</v>
      </c>
      <c r="G51" s="1"/>
      <c r="H51" s="1"/>
    </row>
    <row r="52" spans="1:8">
      <c r="A52" s="1"/>
      <c r="B52" s="1079" t="s">
        <v>1574</v>
      </c>
      <c r="C52" s="1075">
        <f>SUM(C53:C55)</f>
        <v>4</v>
      </c>
      <c r="D52" s="1075">
        <f>SUM(D53:D55)</f>
        <v>279.51</v>
      </c>
      <c r="E52" s="1267" t="s">
        <v>2126</v>
      </c>
      <c r="F52" s="1268" t="s">
        <v>1571</v>
      </c>
      <c r="G52" s="1"/>
      <c r="H52" s="1"/>
    </row>
    <row r="53" spans="1:8">
      <c r="A53" s="1"/>
      <c r="B53" s="841" t="s">
        <v>714</v>
      </c>
      <c r="C53" s="840">
        <v>1</v>
      </c>
      <c r="D53" s="840">
        <v>47.48</v>
      </c>
      <c r="E53" s="1267" t="s">
        <v>2126</v>
      </c>
      <c r="F53" s="1268" t="s">
        <v>1913</v>
      </c>
      <c r="G53" s="1"/>
      <c r="H53" s="1"/>
    </row>
    <row r="54" spans="1:8">
      <c r="A54" s="1"/>
      <c r="B54" s="841" t="s">
        <v>715</v>
      </c>
      <c r="C54" s="840">
        <v>0</v>
      </c>
      <c r="D54" s="840">
        <v>0</v>
      </c>
      <c r="E54" s="1267" t="s">
        <v>2126</v>
      </c>
      <c r="F54" s="1268" t="s">
        <v>936</v>
      </c>
      <c r="G54" s="1"/>
      <c r="H54" s="1"/>
    </row>
    <row r="55" spans="1:8">
      <c r="A55" s="1"/>
      <c r="B55" s="841" t="s">
        <v>670</v>
      </c>
      <c r="C55" s="840">
        <v>3</v>
      </c>
      <c r="D55" s="840">
        <v>232.03</v>
      </c>
      <c r="E55" s="1267" t="s">
        <v>2126</v>
      </c>
      <c r="F55" s="1268" t="s">
        <v>1996</v>
      </c>
      <c r="G55" s="1"/>
      <c r="H55" s="1"/>
    </row>
    <row r="56" spans="1:8">
      <c r="A56" s="1"/>
      <c r="B56" s="1079" t="s">
        <v>2127</v>
      </c>
      <c r="C56" s="1075">
        <f>SUM(C57:C59)</f>
        <v>0</v>
      </c>
      <c r="D56" s="1075">
        <f>SUM(D57:D59)</f>
        <v>0</v>
      </c>
      <c r="E56" s="1267" t="s">
        <v>1649</v>
      </c>
      <c r="F56" s="1268" t="s">
        <v>1571</v>
      </c>
      <c r="G56" s="1"/>
      <c r="H56" s="1"/>
    </row>
    <row r="57" spans="1:8">
      <c r="A57" s="1"/>
      <c r="B57" s="841" t="s">
        <v>714</v>
      </c>
      <c r="C57" s="840">
        <v>0</v>
      </c>
      <c r="D57" s="840">
        <v>0</v>
      </c>
      <c r="E57" s="1267" t="s">
        <v>1649</v>
      </c>
      <c r="F57" s="1268" t="s">
        <v>1913</v>
      </c>
      <c r="G57" s="1"/>
      <c r="H57" s="1"/>
    </row>
    <row r="58" spans="1:8">
      <c r="A58" s="1"/>
      <c r="B58" s="841" t="s">
        <v>715</v>
      </c>
      <c r="C58" s="840">
        <v>0</v>
      </c>
      <c r="D58" s="840">
        <v>0</v>
      </c>
      <c r="E58" s="1267" t="s">
        <v>1649</v>
      </c>
      <c r="F58" s="1268" t="s">
        <v>936</v>
      </c>
      <c r="G58" s="1"/>
      <c r="H58" s="1"/>
    </row>
    <row r="59" spans="1:8">
      <c r="A59" s="1"/>
      <c r="B59" s="841" t="s">
        <v>670</v>
      </c>
      <c r="C59" s="840">
        <v>0</v>
      </c>
      <c r="D59" s="840">
        <v>0</v>
      </c>
      <c r="E59" s="1267" t="s">
        <v>1649</v>
      </c>
      <c r="F59" s="1268" t="s">
        <v>1996</v>
      </c>
      <c r="G59" s="1"/>
      <c r="H59" s="1"/>
    </row>
    <row r="60" spans="1:8">
      <c r="A60" s="1"/>
      <c r="B60" s="1079" t="s">
        <v>1650</v>
      </c>
      <c r="C60" s="1075">
        <f>SUM(C61:C63)</f>
        <v>310.3</v>
      </c>
      <c r="D60" s="1075">
        <f>SUM(D61:D63)</f>
        <v>110.91</v>
      </c>
      <c r="E60" s="1267" t="s">
        <v>316</v>
      </c>
      <c r="F60" s="1268" t="s">
        <v>1571</v>
      </c>
      <c r="G60" s="1"/>
      <c r="H60" s="1"/>
    </row>
    <row r="61" spans="1:8">
      <c r="A61" s="1"/>
      <c r="B61" s="841" t="s">
        <v>714</v>
      </c>
      <c r="C61" s="840">
        <v>3</v>
      </c>
      <c r="D61" s="840">
        <v>1</v>
      </c>
      <c r="E61" s="1267" t="s">
        <v>316</v>
      </c>
      <c r="F61" s="1268" t="s">
        <v>1913</v>
      </c>
      <c r="G61" s="1"/>
      <c r="H61" s="1"/>
    </row>
    <row r="62" spans="1:8">
      <c r="A62" s="1"/>
      <c r="B62" s="841" t="s">
        <v>715</v>
      </c>
      <c r="C62" s="840">
        <v>43.38</v>
      </c>
      <c r="D62" s="840">
        <v>6</v>
      </c>
      <c r="E62" s="1267" t="s">
        <v>316</v>
      </c>
      <c r="F62" s="1268" t="s">
        <v>936</v>
      </c>
      <c r="G62" s="1"/>
      <c r="H62" s="1"/>
    </row>
    <row r="63" spans="1:8">
      <c r="A63" s="1"/>
      <c r="B63" s="841" t="s">
        <v>670</v>
      </c>
      <c r="C63" s="840">
        <v>263.92</v>
      </c>
      <c r="D63" s="840">
        <v>103.91</v>
      </c>
      <c r="E63" s="1267" t="s">
        <v>316</v>
      </c>
      <c r="F63" s="1268" t="s">
        <v>1996</v>
      </c>
      <c r="G63" s="1"/>
      <c r="H63" s="1"/>
    </row>
    <row r="64" spans="1:8">
      <c r="A64" s="1"/>
      <c r="B64" s="1080" t="s">
        <v>2192</v>
      </c>
      <c r="C64" s="1075">
        <f>SUM(C65:C67)</f>
        <v>0</v>
      </c>
      <c r="D64" s="1075">
        <f>SUM(D65:D67)</f>
        <v>0</v>
      </c>
      <c r="E64" s="1267" t="s">
        <v>1081</v>
      </c>
      <c r="F64" s="1268" t="s">
        <v>1571</v>
      </c>
      <c r="G64" s="1"/>
      <c r="H64" s="1"/>
    </row>
    <row r="65" spans="1:8">
      <c r="A65" s="1"/>
      <c r="B65" s="841" t="s">
        <v>714</v>
      </c>
      <c r="C65" s="840">
        <v>0</v>
      </c>
      <c r="D65" s="840">
        <v>0</v>
      </c>
      <c r="E65" s="1267" t="s">
        <v>1081</v>
      </c>
      <c r="F65" s="1268" t="s">
        <v>1913</v>
      </c>
      <c r="G65" s="1"/>
      <c r="H65" s="1"/>
    </row>
    <row r="66" spans="1:8">
      <c r="A66" s="1"/>
      <c r="B66" s="841" t="s">
        <v>715</v>
      </c>
      <c r="C66" s="840">
        <v>0</v>
      </c>
      <c r="D66" s="840">
        <v>0</v>
      </c>
      <c r="E66" s="1267" t="s">
        <v>1081</v>
      </c>
      <c r="F66" s="1268" t="s">
        <v>936</v>
      </c>
      <c r="G66" s="1"/>
      <c r="H66" s="1"/>
    </row>
    <row r="67" spans="1:8">
      <c r="A67" s="1"/>
      <c r="B67" s="841" t="s">
        <v>670</v>
      </c>
      <c r="C67" s="840">
        <v>0</v>
      </c>
      <c r="D67" s="840">
        <v>0</v>
      </c>
      <c r="E67" s="1267" t="s">
        <v>1081</v>
      </c>
      <c r="F67" s="1268" t="s">
        <v>1996</v>
      </c>
      <c r="G67" s="1"/>
      <c r="H67" s="1"/>
    </row>
    <row r="68" spans="1:8">
      <c r="A68" s="1"/>
      <c r="B68" s="1080" t="s">
        <v>1082</v>
      </c>
      <c r="C68" s="1075">
        <f>SUM(C69:C70)</f>
        <v>46.32</v>
      </c>
      <c r="D68" s="1075">
        <f>SUM(D69:D70)</f>
        <v>81.319999999999993</v>
      </c>
      <c r="E68" s="1267" t="s">
        <v>694</v>
      </c>
      <c r="F68" s="1268" t="s">
        <v>1571</v>
      </c>
      <c r="G68" s="1"/>
      <c r="H68" s="1"/>
    </row>
    <row r="69" spans="1:8">
      <c r="A69" s="1"/>
      <c r="B69" s="841" t="s">
        <v>715</v>
      </c>
      <c r="C69" s="840">
        <v>6</v>
      </c>
      <c r="D69" s="840">
        <v>10.5</v>
      </c>
      <c r="E69" s="1267" t="s">
        <v>694</v>
      </c>
      <c r="F69" s="1268" t="s">
        <v>936</v>
      </c>
      <c r="G69" s="1"/>
      <c r="H69" s="1"/>
    </row>
    <row r="70" spans="1:8">
      <c r="A70" s="1"/>
      <c r="B70" s="841" t="s">
        <v>670</v>
      </c>
      <c r="C70" s="840">
        <v>40.32</v>
      </c>
      <c r="D70" s="840">
        <v>70.819999999999993</v>
      </c>
      <c r="E70" s="1267" t="s">
        <v>694</v>
      </c>
      <c r="F70" s="1268" t="s">
        <v>1996</v>
      </c>
      <c r="G70" s="1"/>
      <c r="H70" s="1"/>
    </row>
    <row r="71" spans="1:8">
      <c r="A71" s="1"/>
      <c r="B71" s="145"/>
      <c r="C71" s="146"/>
      <c r="D71" s="146"/>
      <c r="E71" s="51"/>
      <c r="F71" s="51"/>
      <c r="G71" s="1"/>
      <c r="H71" s="1"/>
    </row>
    <row r="72" spans="1:8">
      <c r="A72" s="1"/>
      <c r="B72" s="473" t="s">
        <v>696</v>
      </c>
      <c r="C72" s="474">
        <f>SUM(C32,C36,C40,C44,C48,C52,C56,C60,C64,C68)</f>
        <v>1553.19</v>
      </c>
      <c r="D72" s="474">
        <f>SUM(D32,D36,D40,D44,D48,D52,D56,D60,D64,D68)</f>
        <v>2952.2999999999997</v>
      </c>
      <c r="E72" s="1268" t="s">
        <v>697</v>
      </c>
      <c r="F72" s="1268" t="s">
        <v>1571</v>
      </c>
      <c r="G72" s="1"/>
      <c r="H72" s="1"/>
    </row>
  </sheetData>
  <sheetProtection algorithmName="SHA-512" hashValue="Tak10KzLlZFpU9QJ9gP47YYVxEBw9caqjl3wEgV0lwkhXe7S8DHZBSoQlpdHdXQBaUHbQf2KbUrg6Pvf5giZOg==" saltValue="XuPVks7Dt0I6y8zmElirBg==" spinCount="100000" sheet="1" objects="1" scenarios="1"/>
  <mergeCells count="21">
    <mergeCell ref="C30:D30"/>
    <mergeCell ref="B29:D29"/>
    <mergeCell ref="A14:H14"/>
    <mergeCell ref="A23:H23"/>
    <mergeCell ref="A22:H22"/>
    <mergeCell ref="A16:H16"/>
    <mergeCell ref="B27:D27"/>
    <mergeCell ref="A17:H17"/>
    <mergeCell ref="A19:H19"/>
    <mergeCell ref="A24:H24"/>
    <mergeCell ref="C1:D1"/>
    <mergeCell ref="A3:H3"/>
    <mergeCell ref="A5:H5"/>
    <mergeCell ref="A10:H10"/>
    <mergeCell ref="A7:H7"/>
    <mergeCell ref="A8:H8"/>
    <mergeCell ref="A11:H11"/>
    <mergeCell ref="A18:H18"/>
    <mergeCell ref="A20:H20"/>
    <mergeCell ref="A12:H12"/>
    <mergeCell ref="A13:H13"/>
  </mergeCells>
  <dataValidations count="3">
    <dataValidation type="decimal" allowBlank="1" showInputMessage="1" showErrorMessage="1" errorTitle="Erreur de saisie" error="Vous devez saisir une valeur décimale" sqref="C69:D70 C37:D39 C41:D43 C45:D47 C49:D51 C53:D55 C57:D59 C61:D63 C65:D67 C33:D35">
      <formula1>0</formula1>
      <formula2>999999999999</formula2>
    </dataValidation>
    <dataValidation type="whole" allowBlank="1" showInputMessage="1" showErrorMessage="1" errorTitle="Erreur de saisie" error="Vous devez saisir une valeur entière" sqref="D33:D34 C34:C35 C37:D39 C41:D43 C45:D47 C49:D51 C53:D55 C57:D59 C61:D63 C65:D67 C69:D70">
      <formula1>0</formula1>
      <formula2>999999999999</formula2>
    </dataValidation>
    <dataValidation type="decimal" allowBlank="1" showInputMessage="1" showErrorMessage="1" errorTitle="Erreur de saisie" error="Vous devez saisir une valeur entière" sqref="D33:D35 C34:C35">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71" orientation="portrait" r:id="rId1"/>
  <headerFooter alignWithMargins="0">
    <oddFooter>&amp;LRSU 2020 - Présentation au CTP&amp;R&amp;P/&amp;N
&amp;A</oddFooter>
  </headerFooter>
  <rowBreaks count="1" manualBreakCount="1">
    <brk id="27" max="16383" man="1"/>
  </rowBreaks>
</worksheet>
</file>

<file path=xl/worksheets/sheet21.xml><?xml version="1.0" encoding="utf-8"?>
<worksheet xmlns="http://schemas.openxmlformats.org/spreadsheetml/2006/main" xmlns:r="http://schemas.openxmlformats.org/officeDocument/2006/relationships">
  <sheetPr codeName="Feuil13">
    <pageSetUpPr fitToPage="1"/>
  </sheetPr>
  <dimension ref="A1:H62"/>
  <sheetViews>
    <sheetView showGridLines="0" zoomScaleNormal="100" workbookViewId="0"/>
  </sheetViews>
  <sheetFormatPr baseColWidth="10" defaultColWidth="10.85546875" defaultRowHeight="12.75" customHeight="1"/>
  <cols>
    <col min="1" max="7" width="10.85546875" customWidth="1"/>
    <col min="8" max="8" width="14.28515625" customWidth="1"/>
  </cols>
  <sheetData>
    <row r="1" spans="1:8" ht="17.100000000000001" customHeight="1">
      <c r="A1" s="61"/>
      <c r="B1" s="111"/>
      <c r="C1" s="111"/>
      <c r="D1" s="111"/>
      <c r="E1" s="2245" t="s">
        <v>958</v>
      </c>
      <c r="F1" s="2245"/>
      <c r="G1" s="49"/>
      <c r="H1" s="1"/>
    </row>
    <row r="2" spans="1:8" ht="13.5" thickBot="1"/>
    <row r="3" spans="1:8" ht="16.5" customHeight="1">
      <c r="A3" s="2307" t="s">
        <v>2341</v>
      </c>
      <c r="B3" s="2307"/>
      <c r="C3" s="2307"/>
      <c r="D3" s="2307"/>
      <c r="E3" s="2307"/>
      <c r="F3" s="2307"/>
      <c r="G3" s="2307"/>
      <c r="H3" s="2307"/>
    </row>
    <row r="4" spans="1:8" ht="16.5" customHeight="1" thickBot="1">
      <c r="A4" s="2308" t="s">
        <v>893</v>
      </c>
      <c r="B4" s="2308"/>
      <c r="C4" s="2308"/>
      <c r="D4" s="2308"/>
      <c r="E4" s="2308"/>
      <c r="F4" s="2308"/>
      <c r="G4" s="2308"/>
      <c r="H4" s="2308"/>
    </row>
    <row r="7" spans="1:8" ht="12.75" customHeight="1">
      <c r="A7" s="2309" t="s">
        <v>894</v>
      </c>
      <c r="B7" s="2309"/>
      <c r="C7" s="2309"/>
      <c r="D7" s="2309"/>
      <c r="E7" s="2309"/>
      <c r="F7" s="2309"/>
      <c r="G7" s="2309"/>
      <c r="H7" s="2309"/>
    </row>
    <row r="8" spans="1:8" ht="12.75" customHeight="1">
      <c r="A8" s="2310" t="s">
        <v>895</v>
      </c>
      <c r="B8" s="2310"/>
      <c r="C8" s="2310"/>
      <c r="D8" s="2310"/>
      <c r="E8" s="2310"/>
      <c r="F8" s="2310"/>
      <c r="G8" s="2310"/>
      <c r="H8" s="2310"/>
    </row>
    <row r="11" spans="1:8" ht="12.75" customHeight="1">
      <c r="A11" s="2310" t="s">
        <v>959</v>
      </c>
      <c r="B11" s="2310"/>
      <c r="C11" s="2310"/>
      <c r="D11" s="2310"/>
      <c r="E11" s="2310"/>
      <c r="F11" s="2310"/>
      <c r="G11" s="2310"/>
      <c r="H11" s="2310"/>
    </row>
    <row r="13" spans="1:8" ht="12.75" customHeight="1">
      <c r="A13" s="2306" t="s">
        <v>896</v>
      </c>
      <c r="B13" s="2306"/>
      <c r="C13" s="2306"/>
      <c r="D13" s="2306"/>
      <c r="E13" s="2306"/>
      <c r="F13" s="2306"/>
      <c r="G13" s="2306"/>
      <c r="H13" s="2306"/>
    </row>
    <row r="15" spans="1:8" ht="12.75" customHeight="1">
      <c r="A15" s="2306" t="s">
        <v>897</v>
      </c>
      <c r="B15" s="2306"/>
      <c r="C15" s="2306"/>
      <c r="D15" s="2306"/>
      <c r="E15" s="2306"/>
      <c r="F15" s="2306"/>
      <c r="G15" s="2306"/>
      <c r="H15" s="2306"/>
    </row>
    <row r="17" spans="1:8" ht="12.75" customHeight="1">
      <c r="A17" s="2306" t="s">
        <v>2586</v>
      </c>
      <c r="B17" s="2306"/>
      <c r="C17" s="2306"/>
      <c r="D17" s="2306"/>
      <c r="E17" s="2306"/>
      <c r="F17" s="2306"/>
      <c r="G17" s="2306"/>
      <c r="H17" s="2306"/>
    </row>
    <row r="19" spans="1:8" ht="12.75" customHeight="1">
      <c r="A19" s="2244" t="s">
        <v>650</v>
      </c>
      <c r="B19" s="2244"/>
      <c r="C19" s="2244"/>
      <c r="D19" s="2244"/>
      <c r="E19" s="2244"/>
      <c r="F19" s="2244"/>
      <c r="G19" s="2244"/>
      <c r="H19" s="2244"/>
    </row>
    <row r="20" spans="1:8" ht="37.5" customHeight="1">
      <c r="A20" s="2321" t="s">
        <v>268</v>
      </c>
      <c r="B20" s="2322"/>
      <c r="C20" s="2322"/>
      <c r="D20" s="2322"/>
      <c r="E20" s="2322"/>
      <c r="F20" s="2322"/>
      <c r="G20" s="2322"/>
      <c r="H20" s="2322"/>
    </row>
    <row r="21" spans="1:8" ht="24.75" customHeight="1">
      <c r="A21" s="2312" t="s">
        <v>269</v>
      </c>
      <c r="B21" s="2313"/>
      <c r="C21" s="2313"/>
      <c r="D21" s="2313"/>
      <c r="E21" s="2313"/>
      <c r="F21" s="2313"/>
      <c r="G21" s="2313"/>
      <c r="H21" s="2313"/>
    </row>
    <row r="24" spans="1:8" ht="12.75" customHeight="1">
      <c r="A24" s="2314" t="s">
        <v>1309</v>
      </c>
      <c r="B24" s="2314"/>
      <c r="C24" s="2314"/>
      <c r="D24" s="2314"/>
      <c r="E24" s="2314"/>
      <c r="F24" s="2314"/>
      <c r="G24" s="2314"/>
      <c r="H24" s="2314"/>
    </row>
    <row r="25" spans="1:8" ht="51.75" customHeight="1">
      <c r="A25" s="2317" t="s">
        <v>270</v>
      </c>
      <c r="B25" s="2318"/>
      <c r="C25" s="2318"/>
      <c r="D25" s="2318"/>
      <c r="E25" s="2318"/>
      <c r="F25" s="2318"/>
      <c r="G25" s="2318"/>
      <c r="H25" s="2318"/>
    </row>
    <row r="26" spans="1:8" ht="12.75" customHeight="1">
      <c r="A26" s="2312" t="s">
        <v>271</v>
      </c>
      <c r="B26" s="2313"/>
      <c r="C26" s="2313"/>
      <c r="D26" s="2313"/>
      <c r="E26" s="2313"/>
      <c r="F26" s="2313"/>
      <c r="G26" s="2313"/>
      <c r="H26" s="2313"/>
    </row>
    <row r="27" spans="1:8" ht="12.75" customHeight="1">
      <c r="A27" s="2312" t="s">
        <v>272</v>
      </c>
      <c r="B27" s="2313"/>
      <c r="C27" s="2313"/>
      <c r="D27" s="2313"/>
      <c r="E27" s="2313"/>
      <c r="F27" s="2313"/>
      <c r="G27" s="2313"/>
      <c r="H27" s="2313"/>
    </row>
    <row r="28" spans="1:8" ht="24.75" customHeight="1">
      <c r="A28" s="2312" t="s">
        <v>273</v>
      </c>
      <c r="B28" s="2313"/>
      <c r="C28" s="2313"/>
      <c r="D28" s="2313"/>
      <c r="E28" s="2313"/>
      <c r="F28" s="2313"/>
      <c r="G28" s="2313"/>
      <c r="H28" s="2313"/>
    </row>
    <row r="29" spans="1:8" ht="12.75" customHeight="1">
      <c r="A29" s="2312" t="s">
        <v>274</v>
      </c>
      <c r="B29" s="2313"/>
      <c r="C29" s="2313"/>
      <c r="D29" s="2313"/>
      <c r="E29" s="2313"/>
      <c r="F29" s="2313"/>
      <c r="G29" s="2313"/>
      <c r="H29" s="2313"/>
    </row>
    <row r="30" spans="1:8" ht="25.5" customHeight="1">
      <c r="A30" s="2319" t="s">
        <v>275</v>
      </c>
      <c r="B30" s="2320"/>
      <c r="C30" s="2320"/>
      <c r="D30" s="2320"/>
      <c r="E30" s="2320"/>
      <c r="F30" s="2320"/>
      <c r="G30" s="2320"/>
      <c r="H30" s="2320"/>
    </row>
    <row r="31" spans="1:8" ht="12.75" customHeight="1">
      <c r="A31" s="2315" t="s">
        <v>276</v>
      </c>
      <c r="B31" s="2316"/>
      <c r="C31" s="2316"/>
      <c r="D31" s="2316"/>
      <c r="E31" s="2316"/>
      <c r="F31" s="2316"/>
      <c r="G31" s="2316"/>
      <c r="H31" s="2316"/>
    </row>
    <row r="32" spans="1:8" ht="26.25" customHeight="1">
      <c r="A32" s="2317" t="s">
        <v>277</v>
      </c>
      <c r="B32" s="2318"/>
      <c r="C32" s="2318"/>
      <c r="D32" s="2318"/>
      <c r="E32" s="2318"/>
      <c r="F32" s="2318"/>
      <c r="G32" s="2318"/>
      <c r="H32" s="2318"/>
    </row>
    <row r="35" spans="1:8" ht="12.75" customHeight="1">
      <c r="A35" s="2310" t="s">
        <v>960</v>
      </c>
      <c r="B35" s="2310"/>
      <c r="C35" s="2310"/>
      <c r="D35" s="2310"/>
      <c r="E35" s="2310"/>
      <c r="F35" s="2310"/>
      <c r="G35" s="2310"/>
      <c r="H35" s="2310"/>
    </row>
    <row r="37" spans="1:8" ht="12.75" customHeight="1">
      <c r="A37" s="2311" t="s">
        <v>278</v>
      </c>
      <c r="B37" s="2311"/>
      <c r="C37" s="2311"/>
      <c r="D37" s="2311"/>
      <c r="E37" s="2311"/>
      <c r="F37" s="2311"/>
      <c r="G37" s="2311"/>
      <c r="H37" s="2311"/>
    </row>
    <row r="38" spans="1:8" ht="40.35" customHeight="1">
      <c r="A38" s="2323" t="s">
        <v>279</v>
      </c>
      <c r="B38" s="2323"/>
      <c r="C38" s="2323"/>
      <c r="D38" s="2323"/>
      <c r="E38" s="2323"/>
      <c r="F38" s="2323"/>
      <c r="G38" s="2323"/>
      <c r="H38" s="2323"/>
    </row>
    <row r="40" spans="1:8" ht="40.35" customHeight="1">
      <c r="A40" s="2238" t="s">
        <v>280</v>
      </c>
      <c r="B40" s="2239"/>
      <c r="C40" s="2239"/>
      <c r="D40" s="2239"/>
      <c r="E40" s="2239"/>
      <c r="F40" s="2239"/>
      <c r="G40" s="2239"/>
      <c r="H40" s="2239"/>
    </row>
    <row r="41" spans="1:8" ht="116.25" customHeight="1">
      <c r="A41" s="2264" t="s">
        <v>111</v>
      </c>
      <c r="B41" s="2259"/>
      <c r="C41" s="2259"/>
      <c r="D41" s="2259"/>
      <c r="E41" s="2259"/>
      <c r="F41" s="2259"/>
      <c r="G41" s="2259"/>
      <c r="H41" s="2259"/>
    </row>
    <row r="42" spans="1:8" ht="25.5" customHeight="1">
      <c r="A42" s="2258" t="s">
        <v>281</v>
      </c>
      <c r="B42" s="2259"/>
      <c r="C42" s="2259"/>
      <c r="D42" s="2259"/>
      <c r="E42" s="2259"/>
      <c r="F42" s="2259"/>
      <c r="G42" s="2259"/>
      <c r="H42" s="2259"/>
    </row>
    <row r="43" spans="1:8" ht="25.5" customHeight="1">
      <c r="A43" s="2258" t="s">
        <v>282</v>
      </c>
      <c r="B43" s="2259"/>
      <c r="C43" s="2259"/>
      <c r="D43" s="2259"/>
      <c r="E43" s="2259"/>
      <c r="F43" s="2259"/>
      <c r="G43" s="2259"/>
      <c r="H43" s="2259"/>
    </row>
    <row r="44" spans="1:8" ht="25.5" customHeight="1">
      <c r="A44" s="2258" t="s">
        <v>283</v>
      </c>
      <c r="B44" s="2259"/>
      <c r="C44" s="2259"/>
      <c r="D44" s="2259"/>
      <c r="E44" s="2259"/>
      <c r="F44" s="2259"/>
      <c r="G44" s="2259"/>
      <c r="H44" s="2259"/>
    </row>
    <row r="45" spans="1:8" ht="25.5" customHeight="1">
      <c r="A45" s="2258" t="s">
        <v>284</v>
      </c>
      <c r="B45" s="2259"/>
      <c r="C45" s="2259"/>
      <c r="D45" s="2259"/>
      <c r="E45" s="2259"/>
      <c r="F45" s="2259"/>
      <c r="G45" s="2259"/>
      <c r="H45" s="2259"/>
    </row>
    <row r="46" spans="1:8" ht="38.25" customHeight="1">
      <c r="A46" s="2258" t="s">
        <v>285</v>
      </c>
      <c r="B46" s="2259"/>
      <c r="C46" s="2259"/>
      <c r="D46" s="2259"/>
      <c r="E46" s="2259"/>
      <c r="F46" s="2259"/>
      <c r="G46" s="2259"/>
      <c r="H46" s="2259"/>
    </row>
    <row r="47" spans="1:8" ht="64.5" customHeight="1">
      <c r="A47" s="2324" t="s">
        <v>286</v>
      </c>
      <c r="B47" s="2325"/>
      <c r="C47" s="2325"/>
      <c r="D47" s="2325"/>
      <c r="E47" s="2325"/>
      <c r="F47" s="2325"/>
      <c r="G47" s="2325"/>
      <c r="H47" s="2325"/>
    </row>
    <row r="48" spans="1:8" ht="78" customHeight="1">
      <c r="A48" s="2258" t="s">
        <v>1853</v>
      </c>
      <c r="B48" s="2259"/>
      <c r="C48" s="2259"/>
      <c r="D48" s="2259"/>
      <c r="E48" s="2259"/>
      <c r="F48" s="2259"/>
      <c r="G48" s="2259"/>
      <c r="H48" s="2259"/>
    </row>
    <row r="49" spans="1:8" ht="12.75" customHeight="1">
      <c r="A49" s="2258" t="s">
        <v>1854</v>
      </c>
      <c r="B49" s="2259"/>
      <c r="C49" s="2259"/>
      <c r="D49" s="2259"/>
      <c r="E49" s="2259"/>
      <c r="F49" s="2259"/>
      <c r="G49" s="2259"/>
      <c r="H49" s="2259"/>
    </row>
    <row r="51" spans="1:8" ht="12.75" customHeight="1">
      <c r="A51" s="2239" t="s">
        <v>1855</v>
      </c>
      <c r="B51" s="2239"/>
      <c r="C51" s="2239"/>
      <c r="D51" s="2239"/>
      <c r="E51" s="2239"/>
      <c r="F51" s="2239"/>
      <c r="G51" s="2239"/>
      <c r="H51" s="2239"/>
    </row>
    <row r="52" spans="1:8" ht="38.25" customHeight="1">
      <c r="A52" s="2323" t="s">
        <v>915</v>
      </c>
      <c r="B52" s="2323"/>
      <c r="C52" s="2323"/>
      <c r="D52" s="2323"/>
      <c r="E52" s="2323"/>
      <c r="F52" s="2323"/>
      <c r="G52" s="2323"/>
      <c r="H52" s="2323"/>
    </row>
    <row r="53" spans="1:8" ht="38.25" customHeight="1">
      <c r="A53" s="2324" t="s">
        <v>1856</v>
      </c>
      <c r="B53" s="2325"/>
      <c r="C53" s="2325"/>
      <c r="D53" s="2325"/>
      <c r="E53" s="2325"/>
      <c r="F53" s="2325"/>
      <c r="G53" s="2325"/>
      <c r="H53" s="2325"/>
    </row>
    <row r="54" spans="1:8" ht="12.75" customHeight="1">
      <c r="A54" s="2324" t="s">
        <v>1857</v>
      </c>
      <c r="B54" s="2325"/>
      <c r="C54" s="2325"/>
      <c r="D54" s="2325"/>
      <c r="E54" s="2325"/>
      <c r="F54" s="2325"/>
      <c r="G54" s="2325"/>
      <c r="H54" s="2325"/>
    </row>
    <row r="55" spans="1:8" ht="14.25" customHeight="1"/>
    <row r="56" spans="1:8" ht="37.5" customHeight="1">
      <c r="A56" s="2262" t="s">
        <v>1858</v>
      </c>
      <c r="B56" s="2262"/>
      <c r="C56" s="2262"/>
      <c r="D56" s="2262"/>
      <c r="E56" s="2262"/>
      <c r="F56" s="2262"/>
      <c r="G56" s="2262"/>
      <c r="H56" s="2262"/>
    </row>
    <row r="58" spans="1:8" ht="12.75" customHeight="1">
      <c r="A58" s="2239" t="s">
        <v>1859</v>
      </c>
      <c r="B58" s="2239"/>
      <c r="C58" s="2239"/>
      <c r="D58" s="2239"/>
      <c r="E58" s="2239"/>
      <c r="F58" s="2239"/>
      <c r="G58" s="2239"/>
      <c r="H58" s="2239"/>
    </row>
    <row r="59" spans="1:8" ht="51" customHeight="1">
      <c r="A59" s="2323" t="s">
        <v>2342</v>
      </c>
      <c r="B59" s="2323"/>
      <c r="C59" s="2323"/>
      <c r="D59" s="2323"/>
      <c r="E59" s="2323"/>
      <c r="F59" s="2323"/>
      <c r="G59" s="2323"/>
      <c r="H59" s="2323"/>
    </row>
    <row r="61" spans="1:8" ht="12.75" customHeight="1">
      <c r="A61" s="2240" t="s">
        <v>1860</v>
      </c>
      <c r="B61" s="2240"/>
      <c r="C61" s="2240"/>
      <c r="D61" s="2240"/>
      <c r="E61" s="2240"/>
      <c r="F61" s="2240"/>
      <c r="G61" s="2240"/>
      <c r="H61" s="2240"/>
    </row>
    <row r="62" spans="1:8" ht="38.25" customHeight="1">
      <c r="A62" s="2323" t="s">
        <v>2097</v>
      </c>
      <c r="B62" s="2323"/>
      <c r="C62" s="2323"/>
      <c r="D62" s="2323"/>
      <c r="E62" s="2323"/>
      <c r="F62" s="2323"/>
      <c r="G62" s="2323"/>
      <c r="H62" s="2323"/>
    </row>
  </sheetData>
  <sheetProtection algorithmName="SHA-512" hashValue="Dqt514p90fxE33Eh1lzKJZncibAp2bONvk8sH2GR3jlFCc/VL3Hx/oUB+VR5fv7zHPmtlKi4ouCFMnOta5lg5Q==" saltValue="ABlJAD0l6SE1zzWGORZZ6g==" spinCount="100000" sheet="1" objects="1" scenarios="1"/>
  <mergeCells count="43">
    <mergeCell ref="A61:H61"/>
    <mergeCell ref="A62:H62"/>
    <mergeCell ref="A52:H52"/>
    <mergeCell ref="A53:H53"/>
    <mergeCell ref="A54:H54"/>
    <mergeCell ref="A56:H56"/>
    <mergeCell ref="A58:H58"/>
    <mergeCell ref="A59:H59"/>
    <mergeCell ref="A17:H17"/>
    <mergeCell ref="A19:H19"/>
    <mergeCell ref="A20:H20"/>
    <mergeCell ref="A51:H51"/>
    <mergeCell ref="A38:H38"/>
    <mergeCell ref="A40:H40"/>
    <mergeCell ref="A41:H41"/>
    <mergeCell ref="A42:H42"/>
    <mergeCell ref="A43:H43"/>
    <mergeCell ref="A44:H44"/>
    <mergeCell ref="A45:H45"/>
    <mergeCell ref="A46:H46"/>
    <mergeCell ref="A47:H47"/>
    <mergeCell ref="A49:H49"/>
    <mergeCell ref="A48:H48"/>
    <mergeCell ref="A35:H35"/>
    <mergeCell ref="A37:H37"/>
    <mergeCell ref="A21:H21"/>
    <mergeCell ref="A24:H24"/>
    <mergeCell ref="A31:H31"/>
    <mergeCell ref="A32:H32"/>
    <mergeCell ref="A29:H29"/>
    <mergeCell ref="A30:H30"/>
    <mergeCell ref="A25:H25"/>
    <mergeCell ref="A26:H26"/>
    <mergeCell ref="A27:H27"/>
    <mergeCell ref="A28:H28"/>
    <mergeCell ref="A13:H13"/>
    <mergeCell ref="A15:H15"/>
    <mergeCell ref="E1:F1"/>
    <mergeCell ref="A3:H3"/>
    <mergeCell ref="A4:H4"/>
    <mergeCell ref="A7:H7"/>
    <mergeCell ref="A8:H8"/>
    <mergeCell ref="A11:H11"/>
  </mergeCells>
  <hyperlinks>
    <hyperlink ref="E1" location="Sommaire!A1" display="Retour Sommaire"/>
  </hyperlinks>
  <printOptions horizontalCentered="1"/>
  <pageMargins left="0.59055118110236227" right="0.59055118110236227" top="0.59055118110236227" bottom="0.59055118110236227" header="0.51181102362204722" footer="0.27559055118110237"/>
  <pageSetup paperSize="9" scale="55" firstPageNumber="0" orientation="portrait" r:id="rId1"/>
  <headerFooter alignWithMargins="0">
    <oddFooter>&amp;LRSU 2020 - Présentation au CTP&amp;R&amp;P/&amp;N
&amp;A</oddFooter>
  </headerFooter>
</worksheet>
</file>

<file path=xl/worksheets/sheet22.xml><?xml version="1.0" encoding="utf-8"?>
<worksheet xmlns="http://schemas.openxmlformats.org/spreadsheetml/2006/main" xmlns:r="http://schemas.openxmlformats.org/officeDocument/2006/relationships">
  <sheetPr codeName="Feuil14">
    <pageSetUpPr fitToPage="1"/>
  </sheetPr>
  <dimension ref="A1:U93"/>
  <sheetViews>
    <sheetView showGridLines="0" workbookViewId="0">
      <pane ySplit="13" topLeftCell="A14" activePane="bottomLeft" state="frozen"/>
      <selection activeCell="H29" sqref="H29:AB29"/>
      <selection pane="bottomLeft"/>
    </sheetView>
  </sheetViews>
  <sheetFormatPr baseColWidth="10" defaultColWidth="10.85546875" defaultRowHeight="12.75" customHeight="1"/>
  <cols>
    <col min="1" max="1" width="71.42578125" customWidth="1"/>
    <col min="2" max="2" width="12.28515625" customWidth="1"/>
    <col min="3" max="3" width="11.28515625" customWidth="1"/>
    <col min="4" max="5" width="11.85546875" customWidth="1"/>
    <col min="6" max="6" width="14" customWidth="1"/>
    <col min="7" max="7" width="15.28515625" customWidth="1"/>
    <col min="8" max="8" width="18.7109375" customWidth="1"/>
    <col min="9" max="9" width="11" customWidth="1"/>
    <col min="10" max="10" width="9.28515625" customWidth="1"/>
    <col min="11" max="12" width="9" customWidth="1"/>
    <col min="13" max="15" width="8.28515625" customWidth="1"/>
    <col min="16" max="17" width="8.42578125" customWidth="1"/>
    <col min="18" max="18" width="9.28515625" customWidth="1"/>
    <col min="19" max="19" width="8.7109375" customWidth="1"/>
    <col min="20" max="20" width="9.7109375" customWidth="1"/>
  </cols>
  <sheetData>
    <row r="1" spans="1:21" ht="17.100000000000001" customHeight="1">
      <c r="A1" s="147"/>
      <c r="B1" s="289"/>
      <c r="C1" s="289"/>
      <c r="D1" s="289"/>
      <c r="E1" s="289"/>
      <c r="F1" s="289"/>
      <c r="G1" s="2245" t="s">
        <v>958</v>
      </c>
      <c r="H1" s="2245"/>
      <c r="I1" s="242"/>
      <c r="J1" s="242"/>
      <c r="K1" s="242"/>
      <c r="L1" s="152"/>
      <c r="M1" s="152"/>
      <c r="N1" s="152"/>
      <c r="O1" s="152"/>
      <c r="P1" s="152"/>
      <c r="Q1" s="152"/>
      <c r="R1" s="152"/>
      <c r="S1" s="152"/>
      <c r="T1" s="152"/>
      <c r="U1" s="148"/>
    </row>
    <row r="2" spans="1:21" ht="12.75" customHeight="1" thickBot="1">
      <c r="A2" s="147"/>
      <c r="B2" s="355"/>
      <c r="C2" s="355"/>
      <c r="D2" s="355"/>
      <c r="E2" s="739"/>
      <c r="F2" s="739"/>
      <c r="G2" s="739"/>
      <c r="H2" s="739"/>
      <c r="I2" s="739"/>
      <c r="J2" s="448"/>
      <c r="K2" s="147"/>
      <c r="L2" s="147"/>
      <c r="M2" s="147"/>
      <c r="N2" s="147"/>
      <c r="O2" s="147"/>
      <c r="P2" s="147"/>
      <c r="Q2" s="147"/>
      <c r="R2" s="147"/>
      <c r="S2" s="147"/>
      <c r="T2" s="152"/>
      <c r="U2" s="148"/>
    </row>
    <row r="3" spans="1:21" ht="12.75" customHeight="1" thickBot="1">
      <c r="A3" s="2337" t="s">
        <v>2343</v>
      </c>
      <c r="B3" s="2337"/>
      <c r="C3" s="2337"/>
      <c r="D3" s="2337"/>
      <c r="E3" s="2337"/>
      <c r="F3" s="2337"/>
      <c r="G3" s="2337"/>
      <c r="H3" s="2337"/>
      <c r="I3" s="2337"/>
      <c r="J3" s="2337"/>
      <c r="K3" s="2337"/>
      <c r="L3" s="2337"/>
      <c r="M3" s="2337"/>
      <c r="N3" s="2337"/>
      <c r="O3" s="2337"/>
      <c r="P3" s="2337"/>
      <c r="Q3" s="2337"/>
      <c r="R3" s="2337"/>
      <c r="S3" s="2337"/>
      <c r="T3" s="2337"/>
      <c r="U3" s="148"/>
    </row>
    <row r="4" spans="1:21" ht="12.75" customHeight="1">
      <c r="A4" s="157"/>
      <c r="B4" s="157"/>
      <c r="C4" s="157"/>
      <c r="D4" s="157"/>
      <c r="E4" s="157"/>
      <c r="F4" s="157"/>
      <c r="G4" s="157"/>
      <c r="H4" s="157"/>
      <c r="I4" s="157"/>
      <c r="J4" s="157"/>
      <c r="K4" s="157"/>
      <c r="L4" s="157"/>
      <c r="M4" s="157"/>
      <c r="N4" s="157"/>
      <c r="O4" s="157"/>
      <c r="P4" s="157"/>
      <c r="Q4" s="157"/>
      <c r="R4" s="157"/>
      <c r="S4" s="157"/>
      <c r="T4" s="152"/>
      <c r="U4" s="148"/>
    </row>
    <row r="5" spans="1:21" ht="12.75" customHeight="1">
      <c r="A5" s="2326" t="s">
        <v>2344</v>
      </c>
      <c r="B5" s="2326"/>
      <c r="C5" s="2326"/>
      <c r="D5" s="2326"/>
      <c r="E5" s="2326"/>
      <c r="F5" s="2326"/>
      <c r="G5" s="354"/>
      <c r="H5" s="354"/>
      <c r="I5" s="147"/>
      <c r="J5" s="147"/>
      <c r="K5" s="147"/>
      <c r="L5" s="147"/>
      <c r="M5" s="147"/>
      <c r="N5" s="147"/>
      <c r="O5" s="147"/>
      <c r="P5" s="147"/>
      <c r="Q5" s="147"/>
      <c r="R5" s="147"/>
      <c r="S5" s="147"/>
      <c r="T5" s="152"/>
      <c r="U5" s="149"/>
    </row>
    <row r="6" spans="1:21" ht="12.75" customHeight="1">
      <c r="A6" s="2326" t="s">
        <v>649</v>
      </c>
      <c r="B6" s="2326"/>
      <c r="C6" s="2326"/>
      <c r="D6" s="2326"/>
      <c r="E6" s="2326"/>
      <c r="F6" s="2326"/>
      <c r="G6" s="2326"/>
      <c r="H6" s="2326"/>
      <c r="I6" s="2326"/>
      <c r="J6" s="402"/>
      <c r="K6" s="403"/>
      <c r="L6" s="403"/>
      <c r="M6" s="403"/>
      <c r="N6" s="147"/>
      <c r="O6" s="147"/>
      <c r="P6" s="147"/>
      <c r="Q6" s="147"/>
      <c r="R6" s="147"/>
      <c r="S6" s="147"/>
      <c r="T6" s="152"/>
      <c r="U6" s="149"/>
    </row>
    <row r="7" spans="1:21" ht="20.25" customHeight="1">
      <c r="A7" s="2351"/>
      <c r="B7" s="2351"/>
      <c r="C7" s="971"/>
      <c r="D7" s="971"/>
      <c r="E7" s="971"/>
      <c r="F7" s="971"/>
      <c r="G7" s="971"/>
      <c r="H7" s="971"/>
      <c r="I7" s="971"/>
      <c r="J7" s="403"/>
      <c r="K7" s="403"/>
      <c r="L7" s="403"/>
      <c r="M7" s="403"/>
      <c r="N7" s="147"/>
      <c r="O7" s="147"/>
      <c r="P7" s="147"/>
      <c r="Q7" s="147"/>
      <c r="R7" s="147"/>
      <c r="S7" s="147"/>
      <c r="T7" s="152"/>
      <c r="U7" s="149"/>
    </row>
    <row r="8" spans="1:21" ht="24.75" customHeight="1">
      <c r="A8" s="404"/>
      <c r="B8" s="2327" t="s">
        <v>58</v>
      </c>
      <c r="C8" s="2328"/>
      <c r="D8" s="2328"/>
      <c r="E8" s="2328"/>
      <c r="F8" s="2328"/>
      <c r="G8" s="2328"/>
      <c r="H8" s="2328"/>
      <c r="I8" s="2328"/>
      <c r="J8" s="2329"/>
      <c r="K8" s="152"/>
      <c r="L8" s="152"/>
      <c r="M8" s="152"/>
      <c r="N8" s="244"/>
      <c r="O8" s="244"/>
      <c r="P8" s="152"/>
      <c r="Q8" s="152"/>
      <c r="R8" s="152"/>
      <c r="S8" s="152"/>
      <c r="T8" s="152"/>
      <c r="U8" s="149"/>
    </row>
    <row r="9" spans="1:21" ht="31.5" customHeight="1">
      <c r="A9" s="152"/>
      <c r="B9" s="2352" t="s">
        <v>59</v>
      </c>
      <c r="C9" s="2353"/>
      <c r="D9" s="2353"/>
      <c r="E9" s="2353"/>
      <c r="F9" s="2353"/>
      <c r="G9" s="2353"/>
      <c r="H9" s="2353"/>
      <c r="I9" s="2354"/>
      <c r="J9" s="2355" t="s">
        <v>60</v>
      </c>
      <c r="K9" s="147"/>
      <c r="L9" s="147"/>
      <c r="M9" s="147"/>
      <c r="N9" s="147"/>
      <c r="O9" s="147"/>
      <c r="P9" s="147"/>
      <c r="Q9" s="147"/>
      <c r="R9" s="147"/>
      <c r="S9" s="147"/>
      <c r="T9" s="152"/>
      <c r="U9" s="151"/>
    </row>
    <row r="10" spans="1:21" ht="12.75" customHeight="1">
      <c r="A10" s="147"/>
      <c r="B10" s="2358" t="s">
        <v>1472</v>
      </c>
      <c r="C10" s="2359"/>
      <c r="D10" s="2359"/>
      <c r="E10" s="2359"/>
      <c r="F10" s="2359"/>
      <c r="G10" s="2359"/>
      <c r="H10" s="2360"/>
      <c r="I10" s="2348" t="s">
        <v>61</v>
      </c>
      <c r="J10" s="2356"/>
      <c r="K10" s="2334" t="s">
        <v>768</v>
      </c>
      <c r="L10" s="2330" t="s">
        <v>928</v>
      </c>
      <c r="M10" s="2331"/>
      <c r="N10" s="2330" t="s">
        <v>929</v>
      </c>
      <c r="O10" s="2342"/>
      <c r="P10" s="2331"/>
      <c r="Q10" s="2344" t="s">
        <v>621</v>
      </c>
      <c r="R10" s="2345"/>
      <c r="S10" s="2338" t="s">
        <v>622</v>
      </c>
      <c r="T10" s="2339"/>
      <c r="U10" s="150"/>
    </row>
    <row r="11" spans="1:21" ht="12.75" customHeight="1">
      <c r="A11" s="147"/>
      <c r="B11" s="868" t="s">
        <v>930</v>
      </c>
      <c r="C11" s="868" t="s">
        <v>931</v>
      </c>
      <c r="D11" s="972" t="s">
        <v>932</v>
      </c>
      <c r="E11" s="972" t="s">
        <v>933</v>
      </c>
      <c r="F11" s="972" t="s">
        <v>1366</v>
      </c>
      <c r="G11" s="972" t="s">
        <v>759</v>
      </c>
      <c r="H11" s="972" t="s">
        <v>760</v>
      </c>
      <c r="I11" s="2349"/>
      <c r="J11" s="2356"/>
      <c r="K11" s="2335"/>
      <c r="L11" s="2332"/>
      <c r="M11" s="2333"/>
      <c r="N11" s="2332"/>
      <c r="O11" s="2343"/>
      <c r="P11" s="2333"/>
      <c r="Q11" s="2346"/>
      <c r="R11" s="2347"/>
      <c r="S11" s="2340"/>
      <c r="T11" s="2341"/>
      <c r="U11" s="150"/>
    </row>
    <row r="12" spans="1:21" ht="121.5" customHeight="1">
      <c r="A12" s="395" t="s">
        <v>1471</v>
      </c>
      <c r="B12" s="873" t="s">
        <v>761</v>
      </c>
      <c r="C12" s="873" t="s">
        <v>762</v>
      </c>
      <c r="D12" s="873" t="s">
        <v>763</v>
      </c>
      <c r="E12" s="873" t="s">
        <v>1324</v>
      </c>
      <c r="F12" s="873" t="s">
        <v>1325</v>
      </c>
      <c r="G12" s="401" t="s">
        <v>1326</v>
      </c>
      <c r="H12" s="401" t="s">
        <v>1327</v>
      </c>
      <c r="I12" s="2350"/>
      <c r="J12" s="2357"/>
      <c r="K12" s="2336"/>
      <c r="L12" s="873" t="s">
        <v>770</v>
      </c>
      <c r="M12" s="873" t="s">
        <v>771</v>
      </c>
      <c r="N12" s="873" t="s">
        <v>1328</v>
      </c>
      <c r="O12" s="873" t="s">
        <v>1329</v>
      </c>
      <c r="P12" s="873" t="s">
        <v>1330</v>
      </c>
      <c r="Q12" s="877" t="s">
        <v>707</v>
      </c>
      <c r="R12" s="877" t="s">
        <v>708</v>
      </c>
      <c r="S12" s="877" t="s">
        <v>707</v>
      </c>
      <c r="T12" s="877" t="s">
        <v>708</v>
      </c>
      <c r="U12" s="153"/>
    </row>
    <row r="13" spans="1:21" ht="12.75" customHeight="1">
      <c r="A13" s="154"/>
      <c r="B13" s="155" t="s">
        <v>1331</v>
      </c>
      <c r="C13" s="155" t="s">
        <v>1332</v>
      </c>
      <c r="D13" s="155" t="s">
        <v>1611</v>
      </c>
      <c r="E13" s="155" t="s">
        <v>1612</v>
      </c>
      <c r="F13" s="155" t="s">
        <v>1613</v>
      </c>
      <c r="G13" s="155" t="s">
        <v>1614</v>
      </c>
      <c r="H13" s="155" t="s">
        <v>1615</v>
      </c>
      <c r="I13" s="155" t="s">
        <v>1616</v>
      </c>
      <c r="J13" s="155" t="s">
        <v>1617</v>
      </c>
      <c r="K13" s="154"/>
      <c r="L13" s="155" t="s">
        <v>1618</v>
      </c>
      <c r="M13" s="155" t="s">
        <v>1619</v>
      </c>
      <c r="N13" s="155" t="s">
        <v>1620</v>
      </c>
      <c r="O13" s="155" t="s">
        <v>1621</v>
      </c>
      <c r="P13" s="155" t="s">
        <v>1622</v>
      </c>
      <c r="Q13" s="155" t="s">
        <v>2235</v>
      </c>
      <c r="R13" s="155" t="s">
        <v>2236</v>
      </c>
      <c r="S13" s="155" t="s">
        <v>2237</v>
      </c>
      <c r="T13" s="155" t="s">
        <v>1998</v>
      </c>
      <c r="U13" s="150"/>
    </row>
    <row r="14" spans="1:21" ht="12.75" customHeight="1">
      <c r="A14" s="189" t="s">
        <v>1915</v>
      </c>
      <c r="B14" s="1195">
        <v>1</v>
      </c>
      <c r="C14" s="1195">
        <v>2</v>
      </c>
      <c r="D14" s="1195">
        <v>3</v>
      </c>
      <c r="E14" s="1195">
        <v>4</v>
      </c>
      <c r="F14" s="1195">
        <v>5</v>
      </c>
      <c r="G14" s="1195">
        <v>6</v>
      </c>
      <c r="H14" s="1190">
        <v>7</v>
      </c>
      <c r="I14" s="1190">
        <v>8</v>
      </c>
      <c r="J14" s="1190">
        <v>9</v>
      </c>
      <c r="K14" s="1190">
        <v>0</v>
      </c>
      <c r="L14" s="1190">
        <v>10</v>
      </c>
      <c r="M14" s="1190">
        <v>20</v>
      </c>
      <c r="N14" s="1190">
        <v>10</v>
      </c>
      <c r="O14" s="1190">
        <v>20</v>
      </c>
      <c r="P14" s="1190">
        <v>30</v>
      </c>
      <c r="Q14" s="1190">
        <v>1</v>
      </c>
      <c r="R14" s="1190">
        <v>3</v>
      </c>
      <c r="S14" s="1190">
        <v>2</v>
      </c>
      <c r="T14" s="1190">
        <v>4</v>
      </c>
      <c r="U14" s="1188" t="s">
        <v>1965</v>
      </c>
    </row>
    <row r="15" spans="1:21" ht="12.75" customHeight="1">
      <c r="A15" s="181" t="s">
        <v>703</v>
      </c>
      <c r="B15" s="618">
        <v>0</v>
      </c>
      <c r="C15" s="618">
        <v>0</v>
      </c>
      <c r="D15" s="618">
        <v>2</v>
      </c>
      <c r="E15" s="618">
        <v>0</v>
      </c>
      <c r="F15" s="618">
        <v>0</v>
      </c>
      <c r="G15" s="618">
        <v>0</v>
      </c>
      <c r="H15" s="674">
        <v>0</v>
      </c>
      <c r="I15" s="616">
        <v>1</v>
      </c>
      <c r="J15" s="674">
        <v>5</v>
      </c>
      <c r="K15" s="675">
        <f>SUM(B15:J15)</f>
        <v>8</v>
      </c>
      <c r="L15" s="616">
        <v>8</v>
      </c>
      <c r="M15" s="616">
        <v>0</v>
      </c>
      <c r="N15" s="616">
        <v>1</v>
      </c>
      <c r="O15" s="616">
        <v>2</v>
      </c>
      <c r="P15" s="616">
        <v>5</v>
      </c>
      <c r="Q15" s="616">
        <v>3</v>
      </c>
      <c r="R15" s="616">
        <v>2</v>
      </c>
      <c r="S15" s="616">
        <v>2</v>
      </c>
      <c r="T15" s="616">
        <v>1</v>
      </c>
      <c r="U15" s="1188" t="s">
        <v>1925</v>
      </c>
    </row>
    <row r="16" spans="1:21" ht="12.75" customHeight="1">
      <c r="A16" s="181" t="s">
        <v>704</v>
      </c>
      <c r="B16" s="676">
        <v>0</v>
      </c>
      <c r="C16" s="676">
        <v>16</v>
      </c>
      <c r="D16" s="676">
        <v>8</v>
      </c>
      <c r="E16" s="676">
        <v>0</v>
      </c>
      <c r="F16" s="676">
        <v>0</v>
      </c>
      <c r="G16" s="676">
        <v>0</v>
      </c>
      <c r="H16" s="616">
        <v>0</v>
      </c>
      <c r="I16" s="616">
        <v>1</v>
      </c>
      <c r="J16" s="674">
        <v>14</v>
      </c>
      <c r="K16" s="675">
        <f>SUM(B16:J16)</f>
        <v>39</v>
      </c>
      <c r="L16" s="616">
        <v>38</v>
      </c>
      <c r="M16" s="616">
        <v>1</v>
      </c>
      <c r="N16" s="616">
        <v>11</v>
      </c>
      <c r="O16" s="616">
        <v>16</v>
      </c>
      <c r="P16" s="616">
        <v>12</v>
      </c>
      <c r="Q16" s="616">
        <v>6</v>
      </c>
      <c r="R16" s="616">
        <v>8</v>
      </c>
      <c r="S16" s="616">
        <v>8</v>
      </c>
      <c r="T16" s="616">
        <v>17</v>
      </c>
      <c r="U16" s="1188" t="s">
        <v>1935</v>
      </c>
    </row>
    <row r="17" spans="1:21" ht="12.75" customHeight="1">
      <c r="A17" s="182" t="s">
        <v>1382</v>
      </c>
      <c r="B17" s="677"/>
      <c r="C17" s="677"/>
      <c r="D17" s="677"/>
      <c r="E17" s="677"/>
      <c r="F17" s="677"/>
      <c r="G17" s="677"/>
      <c r="H17" s="616"/>
      <c r="I17" s="616"/>
      <c r="J17" s="674"/>
      <c r="K17" s="675">
        <f>SUM(B17:J17)</f>
        <v>0</v>
      </c>
      <c r="L17" s="616"/>
      <c r="M17" s="616"/>
      <c r="N17" s="616"/>
      <c r="O17" s="616"/>
      <c r="P17" s="616"/>
      <c r="Q17" s="616"/>
      <c r="R17" s="616"/>
      <c r="S17" s="616"/>
      <c r="T17" s="616"/>
      <c r="U17" s="1188" t="s">
        <v>1939</v>
      </c>
    </row>
    <row r="18" spans="1:21" ht="12.75" customHeight="1">
      <c r="A18" s="181" t="s">
        <v>1383</v>
      </c>
      <c r="B18" s="677">
        <v>0</v>
      </c>
      <c r="C18" s="677">
        <v>7</v>
      </c>
      <c r="D18" s="677">
        <v>0</v>
      </c>
      <c r="E18" s="677">
        <v>0</v>
      </c>
      <c r="F18" s="677">
        <v>0</v>
      </c>
      <c r="G18" s="677">
        <v>0</v>
      </c>
      <c r="H18" s="616">
        <v>0</v>
      </c>
      <c r="I18" s="616">
        <v>0</v>
      </c>
      <c r="J18" s="674">
        <v>6</v>
      </c>
      <c r="K18" s="675">
        <f>SUM(B18:J18)</f>
        <v>13</v>
      </c>
      <c r="L18" s="616">
        <v>13</v>
      </c>
      <c r="M18" s="616">
        <v>0</v>
      </c>
      <c r="N18" s="616">
        <v>3</v>
      </c>
      <c r="O18" s="616">
        <v>8</v>
      </c>
      <c r="P18" s="616">
        <v>2</v>
      </c>
      <c r="Q18" s="616">
        <v>2</v>
      </c>
      <c r="R18" s="616">
        <v>4</v>
      </c>
      <c r="S18" s="616">
        <v>2</v>
      </c>
      <c r="T18" s="616">
        <v>5</v>
      </c>
      <c r="U18" s="1188" t="s">
        <v>1000</v>
      </c>
    </row>
    <row r="19" spans="1:21" ht="12.75" customHeight="1">
      <c r="A19" s="181" t="s">
        <v>1384</v>
      </c>
      <c r="B19" s="677">
        <v>3</v>
      </c>
      <c r="C19" s="677">
        <v>101</v>
      </c>
      <c r="D19" s="677">
        <v>0</v>
      </c>
      <c r="E19" s="677">
        <v>0</v>
      </c>
      <c r="F19" s="677">
        <v>0</v>
      </c>
      <c r="G19" s="677">
        <v>0</v>
      </c>
      <c r="H19" s="616">
        <v>0</v>
      </c>
      <c r="I19" s="616">
        <v>0</v>
      </c>
      <c r="J19" s="674">
        <v>14</v>
      </c>
      <c r="K19" s="675">
        <f>SUM(B19:J19)</f>
        <v>118</v>
      </c>
      <c r="L19" s="616">
        <v>107</v>
      </c>
      <c r="M19" s="616">
        <v>11</v>
      </c>
      <c r="N19" s="616">
        <v>71</v>
      </c>
      <c r="O19" s="616">
        <v>36</v>
      </c>
      <c r="P19" s="616">
        <v>11</v>
      </c>
      <c r="Q19" s="616">
        <v>3</v>
      </c>
      <c r="R19" s="616">
        <v>11</v>
      </c>
      <c r="S19" s="616">
        <v>53</v>
      </c>
      <c r="T19" s="616">
        <v>51</v>
      </c>
      <c r="U19" s="1188" t="s">
        <v>1851</v>
      </c>
    </row>
    <row r="20" spans="1:21" ht="12.75" customHeight="1">
      <c r="A20" s="960" t="s">
        <v>1915</v>
      </c>
      <c r="B20" s="678">
        <f t="shared" ref="B20:T20" si="0">SUM(B15:B19)</f>
        <v>3</v>
      </c>
      <c r="C20" s="678">
        <f t="shared" si="0"/>
        <v>124</v>
      </c>
      <c r="D20" s="678">
        <f t="shared" si="0"/>
        <v>10</v>
      </c>
      <c r="E20" s="678">
        <f t="shared" si="0"/>
        <v>0</v>
      </c>
      <c r="F20" s="678">
        <f t="shared" si="0"/>
        <v>0</v>
      </c>
      <c r="G20" s="678">
        <f t="shared" si="0"/>
        <v>0</v>
      </c>
      <c r="H20" s="678">
        <f t="shared" si="0"/>
        <v>0</v>
      </c>
      <c r="I20" s="678">
        <f t="shared" si="0"/>
        <v>2</v>
      </c>
      <c r="J20" s="678">
        <f t="shared" si="0"/>
        <v>39</v>
      </c>
      <c r="K20" s="678">
        <f t="shared" si="0"/>
        <v>178</v>
      </c>
      <c r="L20" s="678">
        <f t="shared" si="0"/>
        <v>166</v>
      </c>
      <c r="M20" s="678">
        <f t="shared" si="0"/>
        <v>12</v>
      </c>
      <c r="N20" s="678">
        <f t="shared" si="0"/>
        <v>86</v>
      </c>
      <c r="O20" s="678">
        <f t="shared" si="0"/>
        <v>62</v>
      </c>
      <c r="P20" s="678">
        <f t="shared" si="0"/>
        <v>30</v>
      </c>
      <c r="Q20" s="678">
        <f t="shared" si="0"/>
        <v>14</v>
      </c>
      <c r="R20" s="678">
        <f t="shared" si="0"/>
        <v>25</v>
      </c>
      <c r="S20" s="678">
        <f t="shared" si="0"/>
        <v>65</v>
      </c>
      <c r="T20" s="679">
        <f t="shared" si="0"/>
        <v>74</v>
      </c>
      <c r="U20" s="1188" t="s">
        <v>1852</v>
      </c>
    </row>
    <row r="21" spans="1:21" ht="12.75" customHeight="1">
      <c r="A21" s="156" t="s">
        <v>673</v>
      </c>
      <c r="B21" s="405"/>
      <c r="C21" s="405"/>
      <c r="D21" s="405"/>
      <c r="E21" s="406"/>
      <c r="F21" s="406"/>
      <c r="G21" s="406"/>
      <c r="H21" s="406"/>
      <c r="I21" s="406"/>
      <c r="J21" s="405"/>
      <c r="K21" s="407"/>
      <c r="L21" s="296"/>
      <c r="M21" s="296"/>
      <c r="N21" s="296"/>
      <c r="O21" s="296"/>
      <c r="P21" s="296"/>
      <c r="Q21" s="296"/>
      <c r="R21" s="296"/>
      <c r="S21" s="296"/>
      <c r="T21" s="296"/>
      <c r="U21" s="423"/>
    </row>
    <row r="22" spans="1:21" ht="12.75" customHeight="1">
      <c r="A22" s="182" t="s">
        <v>1323</v>
      </c>
      <c r="B22" s="677">
        <v>0</v>
      </c>
      <c r="C22" s="677">
        <v>0</v>
      </c>
      <c r="D22" s="677">
        <v>1</v>
      </c>
      <c r="E22" s="677">
        <v>0</v>
      </c>
      <c r="F22" s="677">
        <v>0</v>
      </c>
      <c r="G22" s="677">
        <v>0</v>
      </c>
      <c r="H22" s="616">
        <v>0</v>
      </c>
      <c r="I22" s="616">
        <v>0</v>
      </c>
      <c r="J22" s="674">
        <v>3</v>
      </c>
      <c r="K22" s="675">
        <f t="shared" ref="K22:K27" si="1">SUM(B22:J22)</f>
        <v>4</v>
      </c>
      <c r="L22" s="616">
        <v>4</v>
      </c>
      <c r="M22" s="616">
        <v>0</v>
      </c>
      <c r="N22" s="616">
        <v>0</v>
      </c>
      <c r="O22" s="616">
        <v>1</v>
      </c>
      <c r="P22" s="616">
        <v>3</v>
      </c>
      <c r="Q22" s="616">
        <v>3</v>
      </c>
      <c r="R22" s="616">
        <v>0</v>
      </c>
      <c r="S22" s="616">
        <v>0</v>
      </c>
      <c r="T22" s="616">
        <v>1</v>
      </c>
      <c r="U22" s="1188" t="s">
        <v>1248</v>
      </c>
    </row>
    <row r="23" spans="1:21" ht="12.75" customHeight="1">
      <c r="A23" s="182" t="s">
        <v>705</v>
      </c>
      <c r="B23" s="677">
        <v>0</v>
      </c>
      <c r="C23" s="677">
        <v>2</v>
      </c>
      <c r="D23" s="677">
        <v>2</v>
      </c>
      <c r="E23" s="677">
        <v>0</v>
      </c>
      <c r="F23" s="677">
        <v>0</v>
      </c>
      <c r="G23" s="677">
        <v>0</v>
      </c>
      <c r="H23" s="616">
        <v>0</v>
      </c>
      <c r="I23" s="616">
        <v>1</v>
      </c>
      <c r="J23" s="674">
        <v>2</v>
      </c>
      <c r="K23" s="675">
        <f t="shared" si="1"/>
        <v>7</v>
      </c>
      <c r="L23" s="616">
        <v>7</v>
      </c>
      <c r="M23" s="616">
        <v>0</v>
      </c>
      <c r="N23" s="616">
        <v>2</v>
      </c>
      <c r="O23" s="616">
        <v>2</v>
      </c>
      <c r="P23" s="616">
        <v>3</v>
      </c>
      <c r="Q23" s="616">
        <v>1</v>
      </c>
      <c r="R23" s="616">
        <v>1</v>
      </c>
      <c r="S23" s="616">
        <v>3</v>
      </c>
      <c r="T23" s="616">
        <v>2</v>
      </c>
      <c r="U23" s="1188" t="s">
        <v>1775</v>
      </c>
    </row>
    <row r="24" spans="1:21" ht="12.75" customHeight="1">
      <c r="A24" s="182" t="s">
        <v>1966</v>
      </c>
      <c r="B24" s="677">
        <v>0</v>
      </c>
      <c r="C24" s="677">
        <v>7</v>
      </c>
      <c r="D24" s="677">
        <v>0</v>
      </c>
      <c r="E24" s="677">
        <v>0</v>
      </c>
      <c r="F24" s="677">
        <v>0</v>
      </c>
      <c r="G24" s="677">
        <v>0</v>
      </c>
      <c r="H24" s="616">
        <v>0</v>
      </c>
      <c r="I24" s="616">
        <v>0</v>
      </c>
      <c r="J24" s="674">
        <v>9</v>
      </c>
      <c r="K24" s="675">
        <f t="shared" si="1"/>
        <v>16</v>
      </c>
      <c r="L24" s="616">
        <v>16</v>
      </c>
      <c r="M24" s="616">
        <v>0</v>
      </c>
      <c r="N24" s="616">
        <v>4</v>
      </c>
      <c r="O24" s="616">
        <v>11</v>
      </c>
      <c r="P24" s="616">
        <v>1</v>
      </c>
      <c r="Q24" s="616">
        <v>9</v>
      </c>
      <c r="R24" s="616">
        <v>0</v>
      </c>
      <c r="S24" s="616">
        <v>3</v>
      </c>
      <c r="T24" s="616">
        <v>4</v>
      </c>
      <c r="U24" s="1188" t="s">
        <v>2200</v>
      </c>
    </row>
    <row r="25" spans="1:21" ht="12.75" customHeight="1">
      <c r="A25" s="182" t="s">
        <v>1385</v>
      </c>
      <c r="B25" s="677">
        <v>0</v>
      </c>
      <c r="C25" s="677">
        <v>1</v>
      </c>
      <c r="D25" s="677">
        <v>0</v>
      </c>
      <c r="E25" s="677">
        <v>0</v>
      </c>
      <c r="F25" s="677">
        <v>0</v>
      </c>
      <c r="G25" s="677">
        <v>0</v>
      </c>
      <c r="H25" s="616">
        <v>0</v>
      </c>
      <c r="I25" s="616">
        <v>0</v>
      </c>
      <c r="J25" s="674">
        <v>2</v>
      </c>
      <c r="K25" s="675">
        <f t="shared" si="1"/>
        <v>3</v>
      </c>
      <c r="L25" s="616">
        <v>3</v>
      </c>
      <c r="M25" s="616">
        <v>0</v>
      </c>
      <c r="N25" s="616">
        <v>1</v>
      </c>
      <c r="O25" s="616">
        <v>1</v>
      </c>
      <c r="P25" s="616">
        <v>1</v>
      </c>
      <c r="Q25" s="616">
        <v>2</v>
      </c>
      <c r="R25" s="616">
        <v>0</v>
      </c>
      <c r="S25" s="616">
        <v>1</v>
      </c>
      <c r="T25" s="616">
        <v>0</v>
      </c>
      <c r="U25" s="1188" t="s">
        <v>2208</v>
      </c>
    </row>
    <row r="26" spans="1:21" ht="12.75" customHeight="1">
      <c r="A26" s="182" t="s">
        <v>1166</v>
      </c>
      <c r="B26" s="677">
        <v>34</v>
      </c>
      <c r="C26" s="677">
        <v>207</v>
      </c>
      <c r="D26" s="677">
        <v>0</v>
      </c>
      <c r="E26" s="677">
        <v>0</v>
      </c>
      <c r="F26" s="677">
        <v>0</v>
      </c>
      <c r="G26" s="677">
        <v>0</v>
      </c>
      <c r="H26" s="616">
        <v>0</v>
      </c>
      <c r="I26" s="616">
        <v>0</v>
      </c>
      <c r="J26" s="674">
        <v>35</v>
      </c>
      <c r="K26" s="675">
        <f t="shared" si="1"/>
        <v>276</v>
      </c>
      <c r="L26" s="616">
        <v>83</v>
      </c>
      <c r="M26" s="616">
        <v>193</v>
      </c>
      <c r="N26" s="616">
        <v>194</v>
      </c>
      <c r="O26" s="616">
        <v>29</v>
      </c>
      <c r="P26" s="616">
        <v>53</v>
      </c>
      <c r="Q26" s="616">
        <v>7</v>
      </c>
      <c r="R26" s="616">
        <v>28</v>
      </c>
      <c r="S26" s="616">
        <v>48</v>
      </c>
      <c r="T26" s="616">
        <v>193</v>
      </c>
      <c r="U26" s="1188" t="s">
        <v>1242</v>
      </c>
    </row>
    <row r="27" spans="1:21" ht="12.75" customHeight="1">
      <c r="A27" s="182" t="s">
        <v>1310</v>
      </c>
      <c r="B27" s="677"/>
      <c r="C27" s="677"/>
      <c r="D27" s="677"/>
      <c r="E27" s="677"/>
      <c r="F27" s="677"/>
      <c r="G27" s="677"/>
      <c r="H27" s="616"/>
      <c r="I27" s="616"/>
      <c r="J27" s="674"/>
      <c r="K27" s="675">
        <f t="shared" si="1"/>
        <v>0</v>
      </c>
      <c r="L27" s="616"/>
      <c r="M27" s="616"/>
      <c r="N27" s="616"/>
      <c r="O27" s="616"/>
      <c r="P27" s="616"/>
      <c r="Q27" s="616"/>
      <c r="R27" s="616"/>
      <c r="S27" s="616"/>
      <c r="T27" s="616"/>
      <c r="U27" s="1188" t="s">
        <v>1779</v>
      </c>
    </row>
    <row r="28" spans="1:21" ht="12.75" customHeight="1">
      <c r="A28" s="960" t="s">
        <v>673</v>
      </c>
      <c r="B28" s="678">
        <f>SUM(B22:B27)</f>
        <v>34</v>
      </c>
      <c r="C28" s="678">
        <f t="shared" ref="C28:T28" si="2">SUM(C22:C27)</f>
        <v>217</v>
      </c>
      <c r="D28" s="678">
        <f t="shared" si="2"/>
        <v>3</v>
      </c>
      <c r="E28" s="678">
        <f t="shared" si="2"/>
        <v>0</v>
      </c>
      <c r="F28" s="678">
        <f t="shared" si="2"/>
        <v>0</v>
      </c>
      <c r="G28" s="678">
        <f t="shared" si="2"/>
        <v>0</v>
      </c>
      <c r="H28" s="678">
        <f t="shared" si="2"/>
        <v>0</v>
      </c>
      <c r="I28" s="678">
        <f t="shared" si="2"/>
        <v>1</v>
      </c>
      <c r="J28" s="678">
        <f t="shared" si="2"/>
        <v>51</v>
      </c>
      <c r="K28" s="678">
        <f t="shared" si="2"/>
        <v>306</v>
      </c>
      <c r="L28" s="678">
        <f t="shared" si="2"/>
        <v>113</v>
      </c>
      <c r="M28" s="678">
        <f t="shared" si="2"/>
        <v>193</v>
      </c>
      <c r="N28" s="678">
        <f t="shared" si="2"/>
        <v>201</v>
      </c>
      <c r="O28" s="678">
        <f t="shared" si="2"/>
        <v>44</v>
      </c>
      <c r="P28" s="678">
        <f t="shared" si="2"/>
        <v>61</v>
      </c>
      <c r="Q28" s="678">
        <f t="shared" si="2"/>
        <v>22</v>
      </c>
      <c r="R28" s="678">
        <f t="shared" si="2"/>
        <v>29</v>
      </c>
      <c r="S28" s="678">
        <f t="shared" si="2"/>
        <v>55</v>
      </c>
      <c r="T28" s="679">
        <f t="shared" si="2"/>
        <v>200</v>
      </c>
      <c r="U28" s="1188" t="s">
        <v>1249</v>
      </c>
    </row>
    <row r="29" spans="1:21" ht="12.75" customHeight="1">
      <c r="A29" s="183" t="s">
        <v>1250</v>
      </c>
      <c r="B29" s="408"/>
      <c r="C29" s="408"/>
      <c r="D29" s="408"/>
      <c r="E29" s="406"/>
      <c r="F29" s="406"/>
      <c r="G29" s="406"/>
      <c r="H29" s="292"/>
      <c r="I29" s="292"/>
      <c r="J29" s="296"/>
      <c r="K29" s="407"/>
      <c r="L29" s="296"/>
      <c r="M29" s="296"/>
      <c r="N29" s="296"/>
      <c r="O29" s="296"/>
      <c r="P29" s="296"/>
      <c r="Q29" s="296"/>
      <c r="R29" s="296"/>
      <c r="S29" s="296"/>
      <c r="T29" s="296"/>
      <c r="U29" s="423"/>
    </row>
    <row r="30" spans="1:21" ht="12.75" customHeight="1">
      <c r="A30" s="181" t="s">
        <v>1311</v>
      </c>
      <c r="B30" s="677"/>
      <c r="C30" s="677"/>
      <c r="D30" s="677"/>
      <c r="E30" s="677"/>
      <c r="F30" s="677"/>
      <c r="G30" s="677"/>
      <c r="H30" s="616"/>
      <c r="I30" s="616"/>
      <c r="J30" s="674"/>
      <c r="K30" s="675">
        <f t="shared" ref="K30:K38" si="3">SUM(B30:J30)</f>
        <v>0</v>
      </c>
      <c r="L30" s="616"/>
      <c r="M30" s="616"/>
      <c r="N30" s="616"/>
      <c r="O30" s="616"/>
      <c r="P30" s="616"/>
      <c r="Q30" s="616"/>
      <c r="R30" s="616"/>
      <c r="S30" s="616"/>
      <c r="T30" s="616"/>
      <c r="U30" s="1188" t="s">
        <v>1258</v>
      </c>
    </row>
    <row r="31" spans="1:21" ht="12.75" customHeight="1">
      <c r="A31" s="182" t="s">
        <v>1312</v>
      </c>
      <c r="B31" s="677"/>
      <c r="C31" s="677"/>
      <c r="D31" s="677"/>
      <c r="E31" s="677"/>
      <c r="F31" s="677"/>
      <c r="G31" s="677"/>
      <c r="H31" s="616"/>
      <c r="I31" s="616"/>
      <c r="J31" s="674"/>
      <c r="K31" s="675">
        <f t="shared" si="3"/>
        <v>0</v>
      </c>
      <c r="L31" s="616"/>
      <c r="M31" s="616"/>
      <c r="N31" s="616"/>
      <c r="O31" s="616"/>
      <c r="P31" s="616"/>
      <c r="Q31" s="616"/>
      <c r="R31" s="616"/>
      <c r="S31" s="616"/>
      <c r="T31" s="616"/>
      <c r="U31" s="1188" t="s">
        <v>1263</v>
      </c>
    </row>
    <row r="32" spans="1:21" ht="12.75" customHeight="1">
      <c r="A32" s="182" t="s">
        <v>1313</v>
      </c>
      <c r="B32" s="677">
        <v>0</v>
      </c>
      <c r="C32" s="677">
        <v>1</v>
      </c>
      <c r="D32" s="677">
        <v>0</v>
      </c>
      <c r="E32" s="677">
        <v>0</v>
      </c>
      <c r="F32" s="677">
        <v>0</v>
      </c>
      <c r="G32" s="677">
        <v>0</v>
      </c>
      <c r="H32" s="616">
        <v>0</v>
      </c>
      <c r="I32" s="616">
        <v>0</v>
      </c>
      <c r="J32" s="674">
        <v>0</v>
      </c>
      <c r="K32" s="675">
        <f t="shared" si="3"/>
        <v>1</v>
      </c>
      <c r="L32" s="616">
        <v>1</v>
      </c>
      <c r="M32" s="616">
        <v>0</v>
      </c>
      <c r="N32" s="616">
        <v>1</v>
      </c>
      <c r="O32" s="616">
        <v>0</v>
      </c>
      <c r="P32" s="616">
        <v>0</v>
      </c>
      <c r="Q32" s="616">
        <v>0</v>
      </c>
      <c r="R32" s="616">
        <v>0</v>
      </c>
      <c r="S32" s="616">
        <v>0</v>
      </c>
      <c r="T32" s="616">
        <v>1</v>
      </c>
      <c r="U32" s="1188" t="s">
        <v>965</v>
      </c>
    </row>
    <row r="33" spans="1:21" ht="12.75" customHeight="1">
      <c r="A33" s="182" t="s">
        <v>1314</v>
      </c>
      <c r="B33" s="677"/>
      <c r="C33" s="677"/>
      <c r="D33" s="677"/>
      <c r="E33" s="677"/>
      <c r="F33" s="677"/>
      <c r="G33" s="677"/>
      <c r="H33" s="616"/>
      <c r="I33" s="616"/>
      <c r="J33" s="674"/>
      <c r="K33" s="675">
        <f t="shared" si="3"/>
        <v>0</v>
      </c>
      <c r="L33" s="616"/>
      <c r="M33" s="616"/>
      <c r="N33" s="616"/>
      <c r="O33" s="616"/>
      <c r="P33" s="616"/>
      <c r="Q33" s="616"/>
      <c r="R33" s="616"/>
      <c r="S33" s="616"/>
      <c r="T33" s="616"/>
      <c r="U33" s="1188" t="s">
        <v>971</v>
      </c>
    </row>
    <row r="34" spans="1:21" ht="13.5" customHeight="1">
      <c r="A34" s="182" t="s">
        <v>751</v>
      </c>
      <c r="B34" s="677"/>
      <c r="C34" s="677"/>
      <c r="D34" s="677"/>
      <c r="E34" s="677"/>
      <c r="F34" s="677"/>
      <c r="G34" s="677"/>
      <c r="H34" s="616"/>
      <c r="I34" s="616"/>
      <c r="J34" s="674"/>
      <c r="K34" s="675">
        <f t="shared" si="3"/>
        <v>0</v>
      </c>
      <c r="L34" s="616"/>
      <c r="M34" s="616"/>
      <c r="N34" s="616"/>
      <c r="O34" s="616"/>
      <c r="P34" s="616"/>
      <c r="Q34" s="616"/>
      <c r="R34" s="616"/>
      <c r="S34" s="616"/>
      <c r="T34" s="616"/>
      <c r="U34" s="1188" t="s">
        <v>1495</v>
      </c>
    </row>
    <row r="35" spans="1:21" ht="12.75" customHeight="1">
      <c r="A35" s="182" t="s">
        <v>752</v>
      </c>
      <c r="B35" s="677">
        <v>0</v>
      </c>
      <c r="C35" s="677">
        <v>14</v>
      </c>
      <c r="D35" s="677">
        <v>1</v>
      </c>
      <c r="E35" s="677">
        <v>0</v>
      </c>
      <c r="F35" s="677">
        <v>0</v>
      </c>
      <c r="G35" s="677">
        <v>0</v>
      </c>
      <c r="H35" s="616">
        <v>0</v>
      </c>
      <c r="I35" s="616">
        <v>0</v>
      </c>
      <c r="J35" s="674">
        <v>2</v>
      </c>
      <c r="K35" s="675">
        <f t="shared" si="3"/>
        <v>17</v>
      </c>
      <c r="L35" s="616">
        <v>13</v>
      </c>
      <c r="M35" s="616">
        <v>4</v>
      </c>
      <c r="N35" s="616">
        <v>2</v>
      </c>
      <c r="O35" s="616">
        <v>4</v>
      </c>
      <c r="P35" s="616">
        <v>11</v>
      </c>
      <c r="Q35" s="616">
        <v>2</v>
      </c>
      <c r="R35" s="616">
        <v>0</v>
      </c>
      <c r="S35" s="616">
        <v>10</v>
      </c>
      <c r="T35" s="616">
        <v>5</v>
      </c>
      <c r="U35" s="1188" t="s">
        <v>425</v>
      </c>
    </row>
    <row r="36" spans="1:21" ht="12.75" customHeight="1">
      <c r="A36" s="182" t="s">
        <v>1025</v>
      </c>
      <c r="B36" s="677">
        <v>0</v>
      </c>
      <c r="C36" s="677">
        <v>0</v>
      </c>
      <c r="D36" s="677">
        <v>0</v>
      </c>
      <c r="E36" s="677">
        <v>1</v>
      </c>
      <c r="F36" s="677">
        <v>0</v>
      </c>
      <c r="G36" s="677">
        <v>0</v>
      </c>
      <c r="H36" s="616">
        <v>0</v>
      </c>
      <c r="I36" s="616">
        <v>0</v>
      </c>
      <c r="J36" s="674">
        <v>0</v>
      </c>
      <c r="K36" s="675">
        <f t="shared" si="3"/>
        <v>1</v>
      </c>
      <c r="L36" s="616">
        <v>1</v>
      </c>
      <c r="M36" s="616">
        <v>0</v>
      </c>
      <c r="N36" s="616">
        <v>1</v>
      </c>
      <c r="O36" s="616">
        <v>0</v>
      </c>
      <c r="P36" s="616">
        <v>0</v>
      </c>
      <c r="Q36" s="616">
        <v>0</v>
      </c>
      <c r="R36" s="616">
        <v>0</v>
      </c>
      <c r="S36" s="616">
        <v>1</v>
      </c>
      <c r="T36" s="616">
        <v>0</v>
      </c>
      <c r="U36" s="1188" t="s">
        <v>71</v>
      </c>
    </row>
    <row r="37" spans="1:21" ht="12.75" customHeight="1">
      <c r="A37" s="182" t="s">
        <v>1026</v>
      </c>
      <c r="B37" s="677">
        <v>1</v>
      </c>
      <c r="C37" s="677">
        <v>16</v>
      </c>
      <c r="D37" s="677">
        <v>0</v>
      </c>
      <c r="E37" s="677">
        <v>0</v>
      </c>
      <c r="F37" s="677">
        <v>0</v>
      </c>
      <c r="G37" s="677">
        <v>0</v>
      </c>
      <c r="H37" s="616">
        <v>0</v>
      </c>
      <c r="I37" s="616">
        <v>0</v>
      </c>
      <c r="J37" s="674">
        <v>33</v>
      </c>
      <c r="K37" s="675">
        <f t="shared" si="3"/>
        <v>50</v>
      </c>
      <c r="L37" s="616">
        <v>16</v>
      </c>
      <c r="M37" s="616">
        <v>34</v>
      </c>
      <c r="N37" s="616">
        <v>5</v>
      </c>
      <c r="O37" s="616">
        <v>36</v>
      </c>
      <c r="P37" s="616">
        <v>9</v>
      </c>
      <c r="Q37" s="616">
        <v>10</v>
      </c>
      <c r="R37" s="616">
        <v>23</v>
      </c>
      <c r="S37" s="616">
        <v>6</v>
      </c>
      <c r="T37" s="616">
        <v>11</v>
      </c>
      <c r="U37" s="1188" t="s">
        <v>366</v>
      </c>
    </row>
    <row r="38" spans="1:21" ht="12.75" customHeight="1">
      <c r="A38" s="182" t="s">
        <v>1027</v>
      </c>
      <c r="B38" s="677">
        <v>0</v>
      </c>
      <c r="C38" s="677">
        <v>2</v>
      </c>
      <c r="D38" s="677">
        <v>0</v>
      </c>
      <c r="E38" s="677">
        <v>0</v>
      </c>
      <c r="F38" s="677">
        <v>0</v>
      </c>
      <c r="G38" s="677">
        <v>0</v>
      </c>
      <c r="H38" s="616">
        <v>0</v>
      </c>
      <c r="I38" s="616">
        <v>0</v>
      </c>
      <c r="J38" s="674">
        <v>0</v>
      </c>
      <c r="K38" s="675">
        <f t="shared" si="3"/>
        <v>2</v>
      </c>
      <c r="L38" s="616">
        <v>2</v>
      </c>
      <c r="M38" s="616">
        <v>0</v>
      </c>
      <c r="N38" s="616">
        <v>2</v>
      </c>
      <c r="O38" s="616">
        <v>0</v>
      </c>
      <c r="P38" s="616">
        <v>0</v>
      </c>
      <c r="Q38" s="616">
        <v>0</v>
      </c>
      <c r="R38" s="616">
        <v>0</v>
      </c>
      <c r="S38" s="616">
        <v>1</v>
      </c>
      <c r="T38" s="616">
        <v>1</v>
      </c>
      <c r="U38" s="1188" t="s">
        <v>374</v>
      </c>
    </row>
    <row r="39" spans="1:21" ht="12.75" customHeight="1">
      <c r="A39" s="960" t="s">
        <v>1250</v>
      </c>
      <c r="B39" s="678">
        <f t="shared" ref="B39:T39" si="4">SUM(B30:B38)</f>
        <v>1</v>
      </c>
      <c r="C39" s="678">
        <f t="shared" si="4"/>
        <v>33</v>
      </c>
      <c r="D39" s="678">
        <f t="shared" si="4"/>
        <v>1</v>
      </c>
      <c r="E39" s="678">
        <f t="shared" si="4"/>
        <v>1</v>
      </c>
      <c r="F39" s="678">
        <f t="shared" si="4"/>
        <v>0</v>
      </c>
      <c r="G39" s="678">
        <f t="shared" si="4"/>
        <v>0</v>
      </c>
      <c r="H39" s="678">
        <f t="shared" si="4"/>
        <v>0</v>
      </c>
      <c r="I39" s="678">
        <f t="shared" si="4"/>
        <v>0</v>
      </c>
      <c r="J39" s="678">
        <f t="shared" si="4"/>
        <v>35</v>
      </c>
      <c r="K39" s="678">
        <f t="shared" si="4"/>
        <v>71</v>
      </c>
      <c r="L39" s="678">
        <f t="shared" si="4"/>
        <v>33</v>
      </c>
      <c r="M39" s="678">
        <f t="shared" si="4"/>
        <v>38</v>
      </c>
      <c r="N39" s="678">
        <f t="shared" si="4"/>
        <v>11</v>
      </c>
      <c r="O39" s="678">
        <f t="shared" si="4"/>
        <v>40</v>
      </c>
      <c r="P39" s="678">
        <f t="shared" si="4"/>
        <v>20</v>
      </c>
      <c r="Q39" s="678">
        <f t="shared" si="4"/>
        <v>12</v>
      </c>
      <c r="R39" s="678">
        <f t="shared" si="4"/>
        <v>23</v>
      </c>
      <c r="S39" s="678">
        <f t="shared" si="4"/>
        <v>18</v>
      </c>
      <c r="T39" s="679">
        <f t="shared" si="4"/>
        <v>18</v>
      </c>
      <c r="U39" s="1188" t="s">
        <v>375</v>
      </c>
    </row>
    <row r="40" spans="1:21" ht="12.75" customHeight="1">
      <c r="A40" s="183" t="s">
        <v>376</v>
      </c>
      <c r="B40" s="408"/>
      <c r="C40" s="408"/>
      <c r="D40" s="408"/>
      <c r="E40" s="406"/>
      <c r="F40" s="406"/>
      <c r="G40" s="406"/>
      <c r="H40" s="292"/>
      <c r="I40" s="292"/>
      <c r="J40" s="296"/>
      <c r="K40" s="407"/>
      <c r="L40" s="296"/>
      <c r="M40" s="296"/>
      <c r="N40" s="296"/>
      <c r="O40" s="296"/>
      <c r="P40" s="296"/>
      <c r="Q40" s="296"/>
      <c r="R40" s="296"/>
      <c r="S40" s="296"/>
      <c r="T40" s="296"/>
      <c r="U40" s="423"/>
    </row>
    <row r="41" spans="1:21" ht="12.75" customHeight="1">
      <c r="A41" s="184" t="s">
        <v>1109</v>
      </c>
      <c r="B41" s="677"/>
      <c r="C41" s="677"/>
      <c r="D41" s="677"/>
      <c r="E41" s="677"/>
      <c r="F41" s="677"/>
      <c r="G41" s="677"/>
      <c r="H41" s="616"/>
      <c r="I41" s="616"/>
      <c r="J41" s="674"/>
      <c r="K41" s="675">
        <f>SUM(B41:J41)</f>
        <v>0</v>
      </c>
      <c r="L41" s="616"/>
      <c r="M41" s="616"/>
      <c r="N41" s="616"/>
      <c r="O41" s="616"/>
      <c r="P41" s="616"/>
      <c r="Q41" s="616"/>
      <c r="R41" s="616"/>
      <c r="S41" s="616"/>
      <c r="T41" s="616"/>
      <c r="U41" s="1188" t="s">
        <v>383</v>
      </c>
    </row>
    <row r="42" spans="1:21" ht="12.75" customHeight="1">
      <c r="A42" s="184" t="s">
        <v>1110</v>
      </c>
      <c r="B42" s="677">
        <v>0</v>
      </c>
      <c r="C42" s="677">
        <v>25</v>
      </c>
      <c r="D42" s="677">
        <v>0</v>
      </c>
      <c r="E42" s="677">
        <v>0</v>
      </c>
      <c r="F42" s="677">
        <v>0</v>
      </c>
      <c r="G42" s="677">
        <v>0</v>
      </c>
      <c r="H42" s="616">
        <v>0</v>
      </c>
      <c r="I42" s="616">
        <v>0</v>
      </c>
      <c r="J42" s="674">
        <v>11</v>
      </c>
      <c r="K42" s="675">
        <f>SUM(B42:J42)</f>
        <v>36</v>
      </c>
      <c r="L42" s="616">
        <v>20</v>
      </c>
      <c r="M42" s="616">
        <v>16</v>
      </c>
      <c r="N42" s="616">
        <v>9</v>
      </c>
      <c r="O42" s="616">
        <v>15</v>
      </c>
      <c r="P42" s="616">
        <v>12</v>
      </c>
      <c r="Q42" s="616">
        <v>7</v>
      </c>
      <c r="R42" s="616">
        <v>4</v>
      </c>
      <c r="S42" s="616">
        <v>11</v>
      </c>
      <c r="T42" s="616">
        <v>14</v>
      </c>
      <c r="U42" s="1188" t="s">
        <v>1185</v>
      </c>
    </row>
    <row r="43" spans="1:21" ht="12.75" customHeight="1">
      <c r="A43" s="184" t="s">
        <v>1111</v>
      </c>
      <c r="B43" s="677">
        <v>0</v>
      </c>
      <c r="C43" s="677">
        <v>1</v>
      </c>
      <c r="D43" s="677">
        <v>0</v>
      </c>
      <c r="E43" s="677">
        <v>0</v>
      </c>
      <c r="F43" s="677">
        <v>0</v>
      </c>
      <c r="G43" s="677">
        <v>0</v>
      </c>
      <c r="H43" s="616">
        <v>0</v>
      </c>
      <c r="I43" s="616">
        <v>0</v>
      </c>
      <c r="J43" s="674">
        <v>0</v>
      </c>
      <c r="K43" s="675">
        <f>SUM(B43:J43)</f>
        <v>1</v>
      </c>
      <c r="L43" s="616">
        <v>1</v>
      </c>
      <c r="M43" s="616">
        <v>0</v>
      </c>
      <c r="N43" s="616">
        <v>0</v>
      </c>
      <c r="O43" s="616">
        <v>0</v>
      </c>
      <c r="P43" s="616">
        <v>1</v>
      </c>
      <c r="Q43" s="616">
        <v>0</v>
      </c>
      <c r="R43" s="616">
        <v>0</v>
      </c>
      <c r="S43" s="616">
        <v>0</v>
      </c>
      <c r="T43" s="616">
        <v>1</v>
      </c>
      <c r="U43" s="1188" t="s">
        <v>1193</v>
      </c>
    </row>
    <row r="44" spans="1:21" ht="12.75" customHeight="1">
      <c r="A44" s="960" t="s">
        <v>376</v>
      </c>
      <c r="B44" s="678">
        <f t="shared" ref="B44:T44" si="5">SUM(B41:B43)</f>
        <v>0</v>
      </c>
      <c r="C44" s="678">
        <f t="shared" si="5"/>
        <v>26</v>
      </c>
      <c r="D44" s="678">
        <f t="shared" si="5"/>
        <v>0</v>
      </c>
      <c r="E44" s="678">
        <f t="shared" si="5"/>
        <v>0</v>
      </c>
      <c r="F44" s="678">
        <f t="shared" si="5"/>
        <v>0</v>
      </c>
      <c r="G44" s="678">
        <f t="shared" si="5"/>
        <v>0</v>
      </c>
      <c r="H44" s="678">
        <f t="shared" si="5"/>
        <v>0</v>
      </c>
      <c r="I44" s="678">
        <f t="shared" si="5"/>
        <v>0</v>
      </c>
      <c r="J44" s="678">
        <f t="shared" si="5"/>
        <v>11</v>
      </c>
      <c r="K44" s="678">
        <f t="shared" si="5"/>
        <v>37</v>
      </c>
      <c r="L44" s="678">
        <f t="shared" si="5"/>
        <v>21</v>
      </c>
      <c r="M44" s="678">
        <f t="shared" si="5"/>
        <v>16</v>
      </c>
      <c r="N44" s="678">
        <f t="shared" si="5"/>
        <v>9</v>
      </c>
      <c r="O44" s="678">
        <f t="shared" si="5"/>
        <v>15</v>
      </c>
      <c r="P44" s="678">
        <f t="shared" si="5"/>
        <v>13</v>
      </c>
      <c r="Q44" s="678">
        <f t="shared" si="5"/>
        <v>7</v>
      </c>
      <c r="R44" s="678">
        <f t="shared" si="5"/>
        <v>4</v>
      </c>
      <c r="S44" s="678">
        <f t="shared" si="5"/>
        <v>11</v>
      </c>
      <c r="T44" s="679">
        <f t="shared" si="5"/>
        <v>15</v>
      </c>
      <c r="U44" s="1188" t="s">
        <v>1194</v>
      </c>
    </row>
    <row r="45" spans="1:21" ht="12.75" customHeight="1">
      <c r="A45" s="157" t="s">
        <v>1195</v>
      </c>
      <c r="B45" s="408"/>
      <c r="C45" s="408"/>
      <c r="D45" s="408"/>
      <c r="E45" s="409"/>
      <c r="F45" s="409"/>
      <c r="G45" s="409"/>
      <c r="H45" s="295"/>
      <c r="I45" s="295"/>
      <c r="J45" s="296"/>
      <c r="K45" s="407"/>
      <c r="L45" s="296"/>
      <c r="M45" s="296"/>
      <c r="N45" s="296"/>
      <c r="O45" s="296"/>
      <c r="P45" s="296"/>
      <c r="Q45" s="296"/>
      <c r="R45" s="296"/>
      <c r="S45" s="296"/>
      <c r="T45" s="296"/>
      <c r="U45" s="423"/>
    </row>
    <row r="46" spans="1:21" ht="12.75" customHeight="1">
      <c r="A46" s="184" t="s">
        <v>1112</v>
      </c>
      <c r="B46" s="677"/>
      <c r="C46" s="677"/>
      <c r="D46" s="677"/>
      <c r="E46" s="677"/>
      <c r="F46" s="677"/>
      <c r="G46" s="677"/>
      <c r="H46" s="616"/>
      <c r="I46" s="616"/>
      <c r="J46" s="674"/>
      <c r="K46" s="675">
        <f t="shared" ref="K46:K51" si="6">SUM(B46:J46)</f>
        <v>0</v>
      </c>
      <c r="L46" s="616"/>
      <c r="M46" s="616"/>
      <c r="N46" s="616"/>
      <c r="O46" s="616"/>
      <c r="P46" s="674"/>
      <c r="Q46" s="616"/>
      <c r="R46" s="616"/>
      <c r="S46" s="616"/>
      <c r="T46" s="674"/>
      <c r="U46" s="1188" t="s">
        <v>1203</v>
      </c>
    </row>
    <row r="47" spans="1:21" ht="12.75" customHeight="1">
      <c r="A47" s="184" t="s">
        <v>1113</v>
      </c>
      <c r="B47" s="616"/>
      <c r="C47" s="677"/>
      <c r="D47" s="677"/>
      <c r="E47" s="677"/>
      <c r="F47" s="677"/>
      <c r="G47" s="677"/>
      <c r="H47" s="616"/>
      <c r="I47" s="616"/>
      <c r="J47" s="674"/>
      <c r="K47" s="675">
        <f t="shared" si="6"/>
        <v>0</v>
      </c>
      <c r="L47" s="616"/>
      <c r="M47" s="616"/>
      <c r="N47" s="616"/>
      <c r="O47" s="616"/>
      <c r="P47" s="674"/>
      <c r="Q47" s="616"/>
      <c r="R47" s="616"/>
      <c r="S47" s="616"/>
      <c r="T47" s="674"/>
      <c r="U47" s="1188" t="s">
        <v>1395</v>
      </c>
    </row>
    <row r="48" spans="1:21" ht="12.75" customHeight="1">
      <c r="A48" s="184" t="s">
        <v>1114</v>
      </c>
      <c r="B48" s="677">
        <v>1</v>
      </c>
      <c r="C48" s="677">
        <v>14</v>
      </c>
      <c r="D48" s="677">
        <v>0</v>
      </c>
      <c r="E48" s="677">
        <v>0</v>
      </c>
      <c r="F48" s="677">
        <v>0</v>
      </c>
      <c r="G48" s="677">
        <v>0</v>
      </c>
      <c r="H48" s="616">
        <v>0</v>
      </c>
      <c r="I48" s="616">
        <v>0</v>
      </c>
      <c r="J48" s="674">
        <v>0</v>
      </c>
      <c r="K48" s="675">
        <f t="shared" si="6"/>
        <v>15</v>
      </c>
      <c r="L48" s="616">
        <v>15</v>
      </c>
      <c r="M48" s="616">
        <v>0</v>
      </c>
      <c r="N48" s="616">
        <v>7</v>
      </c>
      <c r="O48" s="616">
        <v>5</v>
      </c>
      <c r="P48" s="674">
        <v>3</v>
      </c>
      <c r="Q48" s="616">
        <v>0</v>
      </c>
      <c r="R48" s="616">
        <v>0</v>
      </c>
      <c r="S48" s="616">
        <v>0</v>
      </c>
      <c r="T48" s="674">
        <v>15</v>
      </c>
      <c r="U48" s="1188" t="s">
        <v>1396</v>
      </c>
    </row>
    <row r="49" spans="1:21" ht="12.75" customHeight="1">
      <c r="A49" s="184" t="s">
        <v>1945</v>
      </c>
      <c r="B49" s="677"/>
      <c r="C49" s="677"/>
      <c r="D49" s="677"/>
      <c r="E49" s="677"/>
      <c r="F49" s="677"/>
      <c r="G49" s="677"/>
      <c r="H49" s="616"/>
      <c r="I49" s="616"/>
      <c r="J49" s="674"/>
      <c r="K49" s="675">
        <f t="shared" si="6"/>
        <v>0</v>
      </c>
      <c r="L49" s="616"/>
      <c r="M49" s="616"/>
      <c r="N49" s="616"/>
      <c r="O49" s="616"/>
      <c r="P49" s="674"/>
      <c r="Q49" s="616"/>
      <c r="R49" s="616"/>
      <c r="S49" s="616"/>
      <c r="T49" s="674"/>
      <c r="U49" s="1188" t="s">
        <v>1344</v>
      </c>
    </row>
    <row r="50" spans="1:21" ht="12.75" customHeight="1">
      <c r="A50" s="185" t="s">
        <v>1946</v>
      </c>
      <c r="B50" s="677">
        <v>3</v>
      </c>
      <c r="C50" s="677">
        <v>150</v>
      </c>
      <c r="D50" s="677">
        <v>0</v>
      </c>
      <c r="E50" s="677">
        <v>0</v>
      </c>
      <c r="F50" s="677">
        <v>0</v>
      </c>
      <c r="G50" s="677">
        <v>0</v>
      </c>
      <c r="H50" s="616">
        <v>0</v>
      </c>
      <c r="I50" s="616">
        <v>0</v>
      </c>
      <c r="J50" s="674">
        <v>0</v>
      </c>
      <c r="K50" s="675">
        <f t="shared" si="6"/>
        <v>153</v>
      </c>
      <c r="L50" s="616">
        <v>153</v>
      </c>
      <c r="M50" s="616">
        <v>0</v>
      </c>
      <c r="N50" s="616">
        <v>61</v>
      </c>
      <c r="O50" s="616">
        <v>35</v>
      </c>
      <c r="P50" s="674">
        <v>57</v>
      </c>
      <c r="Q50" s="616">
        <v>0</v>
      </c>
      <c r="R50" s="616">
        <v>0</v>
      </c>
      <c r="S50" s="616">
        <v>0</v>
      </c>
      <c r="T50" s="674">
        <v>153</v>
      </c>
      <c r="U50" s="1188" t="s">
        <v>1350</v>
      </c>
    </row>
    <row r="51" spans="1:21" ht="12.75" customHeight="1">
      <c r="A51" s="184" t="s">
        <v>1947</v>
      </c>
      <c r="B51" s="677"/>
      <c r="C51" s="677"/>
      <c r="D51" s="677"/>
      <c r="E51" s="677"/>
      <c r="F51" s="677"/>
      <c r="G51" s="677"/>
      <c r="H51" s="616"/>
      <c r="I51" s="616"/>
      <c r="J51" s="674"/>
      <c r="K51" s="675">
        <f t="shared" si="6"/>
        <v>0</v>
      </c>
      <c r="L51" s="616"/>
      <c r="M51" s="616"/>
      <c r="N51" s="616"/>
      <c r="O51" s="616"/>
      <c r="P51" s="674"/>
      <c r="Q51" s="616"/>
      <c r="R51" s="616"/>
      <c r="S51" s="616"/>
      <c r="T51" s="674"/>
      <c r="U51" s="1188" t="s">
        <v>1572</v>
      </c>
    </row>
    <row r="52" spans="1:21" ht="12.75" customHeight="1">
      <c r="A52" s="960" t="s">
        <v>1195</v>
      </c>
      <c r="B52" s="678">
        <f t="shared" ref="B52:T52" si="7">SUM(B46:B51)</f>
        <v>4</v>
      </c>
      <c r="C52" s="678">
        <f t="shared" si="7"/>
        <v>164</v>
      </c>
      <c r="D52" s="678">
        <f t="shared" si="7"/>
        <v>0</v>
      </c>
      <c r="E52" s="678">
        <f t="shared" si="7"/>
        <v>0</v>
      </c>
      <c r="F52" s="678">
        <f t="shared" si="7"/>
        <v>0</v>
      </c>
      <c r="G52" s="678">
        <f t="shared" si="7"/>
        <v>0</v>
      </c>
      <c r="H52" s="678">
        <f t="shared" si="7"/>
        <v>0</v>
      </c>
      <c r="I52" s="678">
        <f t="shared" si="7"/>
        <v>0</v>
      </c>
      <c r="J52" s="678">
        <f t="shared" si="7"/>
        <v>0</v>
      </c>
      <c r="K52" s="678">
        <f t="shared" si="7"/>
        <v>168</v>
      </c>
      <c r="L52" s="678">
        <f t="shared" si="7"/>
        <v>168</v>
      </c>
      <c r="M52" s="678">
        <f t="shared" si="7"/>
        <v>0</v>
      </c>
      <c r="N52" s="678">
        <f t="shared" si="7"/>
        <v>68</v>
      </c>
      <c r="O52" s="678">
        <f t="shared" si="7"/>
        <v>40</v>
      </c>
      <c r="P52" s="678">
        <f t="shared" si="7"/>
        <v>60</v>
      </c>
      <c r="Q52" s="678">
        <f t="shared" si="7"/>
        <v>0</v>
      </c>
      <c r="R52" s="678">
        <f t="shared" si="7"/>
        <v>0</v>
      </c>
      <c r="S52" s="678">
        <f t="shared" si="7"/>
        <v>0</v>
      </c>
      <c r="T52" s="679">
        <f t="shared" si="7"/>
        <v>168</v>
      </c>
      <c r="U52" s="1188" t="s">
        <v>1573</v>
      </c>
    </row>
    <row r="53" spans="1:21" ht="12.75" customHeight="1">
      <c r="A53" s="158" t="s">
        <v>1574</v>
      </c>
      <c r="B53" s="410"/>
      <c r="C53" s="410"/>
      <c r="D53" s="410"/>
      <c r="E53" s="406"/>
      <c r="F53" s="406"/>
      <c r="G53" s="406"/>
      <c r="H53" s="292"/>
      <c r="I53" s="292"/>
      <c r="J53" s="293"/>
      <c r="K53" s="293"/>
      <c r="L53" s="296"/>
      <c r="M53" s="296"/>
      <c r="N53" s="296"/>
      <c r="O53" s="296"/>
      <c r="P53" s="296"/>
      <c r="Q53" s="296"/>
      <c r="R53" s="296"/>
      <c r="S53" s="296"/>
      <c r="T53" s="296"/>
      <c r="U53" s="423"/>
    </row>
    <row r="54" spans="1:21" ht="12.75" customHeight="1">
      <c r="A54" s="184" t="s">
        <v>1948</v>
      </c>
      <c r="B54" s="677">
        <v>0</v>
      </c>
      <c r="C54" s="677">
        <v>1</v>
      </c>
      <c r="D54" s="677">
        <v>0</v>
      </c>
      <c r="E54" s="677">
        <v>0</v>
      </c>
      <c r="F54" s="677">
        <v>0</v>
      </c>
      <c r="G54" s="677">
        <v>0</v>
      </c>
      <c r="H54" s="616">
        <v>0</v>
      </c>
      <c r="I54" s="616">
        <v>0</v>
      </c>
      <c r="J54" s="674">
        <v>0</v>
      </c>
      <c r="K54" s="675">
        <f t="shared" ref="K54:K61" si="8">SUM(B54:J54)</f>
        <v>1</v>
      </c>
      <c r="L54" s="616">
        <v>1</v>
      </c>
      <c r="M54" s="616">
        <v>0</v>
      </c>
      <c r="N54" s="616">
        <v>1</v>
      </c>
      <c r="O54" s="616">
        <v>0</v>
      </c>
      <c r="P54" s="616">
        <v>0</v>
      </c>
      <c r="Q54" s="616">
        <v>0</v>
      </c>
      <c r="R54" s="616">
        <v>0</v>
      </c>
      <c r="S54" s="616">
        <v>0</v>
      </c>
      <c r="T54" s="616">
        <v>1</v>
      </c>
      <c r="U54" s="1188" t="s">
        <v>1583</v>
      </c>
    </row>
    <row r="55" spans="1:21" ht="12.75" customHeight="1">
      <c r="A55" s="184" t="s">
        <v>1949</v>
      </c>
      <c r="B55" s="677"/>
      <c r="C55" s="677"/>
      <c r="D55" s="677"/>
      <c r="E55" s="677"/>
      <c r="F55" s="677"/>
      <c r="G55" s="677"/>
      <c r="H55" s="616"/>
      <c r="I55" s="616"/>
      <c r="J55" s="674"/>
      <c r="K55" s="675">
        <f t="shared" si="8"/>
        <v>0</v>
      </c>
      <c r="L55" s="616"/>
      <c r="M55" s="616"/>
      <c r="N55" s="616"/>
      <c r="O55" s="616"/>
      <c r="P55" s="616"/>
      <c r="Q55" s="616"/>
      <c r="R55" s="616"/>
      <c r="S55" s="616"/>
      <c r="T55" s="616"/>
      <c r="U55" s="1188" t="s">
        <v>1589</v>
      </c>
    </row>
    <row r="56" spans="1:21" ht="12.75" customHeight="1">
      <c r="A56" s="184" t="s">
        <v>1950</v>
      </c>
      <c r="B56" s="677"/>
      <c r="C56" s="677"/>
      <c r="D56" s="677"/>
      <c r="E56" s="677"/>
      <c r="F56" s="677"/>
      <c r="G56" s="677"/>
      <c r="H56" s="616"/>
      <c r="I56" s="616"/>
      <c r="J56" s="674"/>
      <c r="K56" s="675">
        <f t="shared" si="8"/>
        <v>0</v>
      </c>
      <c r="L56" s="616"/>
      <c r="M56" s="616"/>
      <c r="N56" s="616"/>
      <c r="O56" s="616"/>
      <c r="P56" s="616"/>
      <c r="Q56" s="616"/>
      <c r="R56" s="616"/>
      <c r="S56" s="616"/>
      <c r="T56" s="616"/>
      <c r="U56" s="1188" t="s">
        <v>1594</v>
      </c>
    </row>
    <row r="57" spans="1:21" ht="12.75" customHeight="1">
      <c r="A57" s="184" t="s">
        <v>2232</v>
      </c>
      <c r="B57" s="677"/>
      <c r="C57" s="677"/>
      <c r="D57" s="677"/>
      <c r="E57" s="677"/>
      <c r="F57" s="677"/>
      <c r="G57" s="677"/>
      <c r="H57" s="616"/>
      <c r="I57" s="616"/>
      <c r="J57" s="674"/>
      <c r="K57" s="675">
        <f t="shared" si="8"/>
        <v>0</v>
      </c>
      <c r="L57" s="616"/>
      <c r="M57" s="616"/>
      <c r="N57" s="616"/>
      <c r="O57" s="616"/>
      <c r="P57" s="616"/>
      <c r="Q57" s="616"/>
      <c r="R57" s="616"/>
      <c r="S57" s="616"/>
      <c r="T57" s="616"/>
      <c r="U57" s="1188" t="s">
        <v>1791</v>
      </c>
    </row>
    <row r="58" spans="1:21" ht="12.75" customHeight="1">
      <c r="A58" s="184" t="s">
        <v>141</v>
      </c>
      <c r="B58" s="677"/>
      <c r="C58" s="677"/>
      <c r="D58" s="677"/>
      <c r="E58" s="677"/>
      <c r="F58" s="677"/>
      <c r="G58" s="677"/>
      <c r="H58" s="616"/>
      <c r="I58" s="616"/>
      <c r="J58" s="674"/>
      <c r="K58" s="675">
        <f t="shared" si="8"/>
        <v>0</v>
      </c>
      <c r="L58" s="616"/>
      <c r="M58" s="616"/>
      <c r="N58" s="616"/>
      <c r="O58" s="616"/>
      <c r="P58" s="616"/>
      <c r="Q58" s="616"/>
      <c r="R58" s="616"/>
      <c r="S58" s="616"/>
      <c r="T58" s="616"/>
      <c r="U58" s="1188" t="s">
        <v>1600</v>
      </c>
    </row>
    <row r="59" spans="1:21" ht="12.75" customHeight="1">
      <c r="A59" s="184" t="s">
        <v>1433</v>
      </c>
      <c r="B59" s="677">
        <v>1</v>
      </c>
      <c r="C59" s="677">
        <v>7</v>
      </c>
      <c r="D59" s="677">
        <v>0</v>
      </c>
      <c r="E59" s="677">
        <v>0</v>
      </c>
      <c r="F59" s="677">
        <v>0</v>
      </c>
      <c r="G59" s="677">
        <v>0</v>
      </c>
      <c r="H59" s="616">
        <v>0</v>
      </c>
      <c r="I59" s="616">
        <v>0</v>
      </c>
      <c r="J59" s="674">
        <v>0</v>
      </c>
      <c r="K59" s="675">
        <f t="shared" si="8"/>
        <v>8</v>
      </c>
      <c r="L59" s="616">
        <v>8</v>
      </c>
      <c r="M59" s="616">
        <v>0</v>
      </c>
      <c r="N59" s="616">
        <v>6</v>
      </c>
      <c r="O59" s="616">
        <v>2</v>
      </c>
      <c r="P59" s="616">
        <v>0</v>
      </c>
      <c r="Q59" s="616">
        <v>0</v>
      </c>
      <c r="R59" s="616">
        <v>0</v>
      </c>
      <c r="S59" s="616">
        <v>2</v>
      </c>
      <c r="T59" s="616">
        <v>6</v>
      </c>
      <c r="U59" s="1188" t="s">
        <v>723</v>
      </c>
    </row>
    <row r="60" spans="1:21" ht="12.75" customHeight="1">
      <c r="A60" s="184" t="s">
        <v>1895</v>
      </c>
      <c r="B60" s="677"/>
      <c r="C60" s="677"/>
      <c r="D60" s="677"/>
      <c r="E60" s="677"/>
      <c r="F60" s="677"/>
      <c r="G60" s="677"/>
      <c r="H60" s="677"/>
      <c r="I60" s="677"/>
      <c r="J60" s="677"/>
      <c r="K60" s="675">
        <f t="shared" si="8"/>
        <v>0</v>
      </c>
      <c r="L60" s="616"/>
      <c r="M60" s="616"/>
      <c r="N60" s="616"/>
      <c r="O60" s="616"/>
      <c r="P60" s="616"/>
      <c r="Q60" s="616"/>
      <c r="R60" s="616"/>
      <c r="S60" s="616"/>
      <c r="T60" s="616"/>
      <c r="U60" s="1188" t="s">
        <v>419</v>
      </c>
    </row>
    <row r="61" spans="1:21" ht="12.75" customHeight="1">
      <c r="A61" s="184" t="s">
        <v>1053</v>
      </c>
      <c r="B61" s="677"/>
      <c r="C61" s="677"/>
      <c r="D61" s="677"/>
      <c r="E61" s="677"/>
      <c r="F61" s="677"/>
      <c r="G61" s="677"/>
      <c r="H61" s="677"/>
      <c r="I61" s="677"/>
      <c r="J61" s="677"/>
      <c r="K61" s="675">
        <f t="shared" si="8"/>
        <v>0</v>
      </c>
      <c r="L61" s="616"/>
      <c r="M61" s="616"/>
      <c r="N61" s="616"/>
      <c r="O61" s="616"/>
      <c r="P61" s="616"/>
      <c r="Q61" s="616"/>
      <c r="R61" s="616"/>
      <c r="S61" s="616"/>
      <c r="T61" s="616"/>
      <c r="U61" s="1188" t="s">
        <v>867</v>
      </c>
    </row>
    <row r="62" spans="1:21" ht="12.75" customHeight="1">
      <c r="A62" s="186" t="s">
        <v>1896</v>
      </c>
      <c r="B62" s="677"/>
      <c r="C62" s="677"/>
      <c r="D62" s="677"/>
      <c r="E62" s="677"/>
      <c r="F62" s="677"/>
      <c r="G62" s="677"/>
      <c r="H62" s="677"/>
      <c r="I62" s="677"/>
      <c r="J62" s="677"/>
      <c r="K62" s="675">
        <f>SUM(B62:J62)</f>
        <v>0</v>
      </c>
      <c r="L62" s="616"/>
      <c r="M62" s="616"/>
      <c r="N62" s="616"/>
      <c r="O62" s="616"/>
      <c r="P62" s="616"/>
      <c r="Q62" s="616"/>
      <c r="R62" s="616"/>
      <c r="S62" s="616"/>
      <c r="T62" s="616"/>
      <c r="U62" s="1188" t="s">
        <v>2113</v>
      </c>
    </row>
    <row r="63" spans="1:21" ht="12.75" customHeight="1">
      <c r="A63" s="184" t="s">
        <v>1897</v>
      </c>
      <c r="B63" s="677">
        <v>6</v>
      </c>
      <c r="C63" s="677">
        <v>77</v>
      </c>
      <c r="D63" s="677">
        <v>0</v>
      </c>
      <c r="E63" s="677">
        <v>0</v>
      </c>
      <c r="F63" s="677">
        <v>0</v>
      </c>
      <c r="G63" s="677">
        <v>0</v>
      </c>
      <c r="H63" s="677">
        <v>0</v>
      </c>
      <c r="I63" s="677">
        <v>0</v>
      </c>
      <c r="J63" s="677">
        <v>1</v>
      </c>
      <c r="K63" s="675">
        <f>SUM(B63:J63)</f>
        <v>84</v>
      </c>
      <c r="L63" s="616">
        <v>84</v>
      </c>
      <c r="M63" s="616">
        <v>0</v>
      </c>
      <c r="N63" s="616">
        <v>41</v>
      </c>
      <c r="O63" s="616">
        <v>25</v>
      </c>
      <c r="P63" s="616">
        <v>18</v>
      </c>
      <c r="Q63" s="616">
        <v>0</v>
      </c>
      <c r="R63" s="616">
        <v>1</v>
      </c>
      <c r="S63" s="616">
        <v>0</v>
      </c>
      <c r="T63" s="616">
        <v>83</v>
      </c>
      <c r="U63" s="1188" t="s">
        <v>2119</v>
      </c>
    </row>
    <row r="64" spans="1:21" ht="12.75" customHeight="1">
      <c r="A64" s="184" t="s">
        <v>1898</v>
      </c>
      <c r="B64" s="677"/>
      <c r="C64" s="677"/>
      <c r="D64" s="677"/>
      <c r="E64" s="677"/>
      <c r="F64" s="677"/>
      <c r="G64" s="677"/>
      <c r="H64" s="677"/>
      <c r="I64" s="677"/>
      <c r="J64" s="677"/>
      <c r="K64" s="675">
        <f>SUM(B64:J64)</f>
        <v>0</v>
      </c>
      <c r="L64" s="616"/>
      <c r="M64" s="616"/>
      <c r="N64" s="616"/>
      <c r="O64" s="616"/>
      <c r="P64" s="616"/>
      <c r="Q64" s="616"/>
      <c r="R64" s="616"/>
      <c r="S64" s="616"/>
      <c r="T64" s="616"/>
      <c r="U64" s="1188" t="s">
        <v>2125</v>
      </c>
    </row>
    <row r="65" spans="1:21" ht="12.75" customHeight="1">
      <c r="A65" s="960" t="s">
        <v>1574</v>
      </c>
      <c r="B65" s="678">
        <f t="shared" ref="B65:T65" si="9">SUM(B54:B64)</f>
        <v>7</v>
      </c>
      <c r="C65" s="678">
        <f t="shared" si="9"/>
        <v>85</v>
      </c>
      <c r="D65" s="678">
        <f t="shared" si="9"/>
        <v>0</v>
      </c>
      <c r="E65" s="678">
        <f t="shared" si="9"/>
        <v>0</v>
      </c>
      <c r="F65" s="678">
        <f t="shared" si="9"/>
        <v>0</v>
      </c>
      <c r="G65" s="678">
        <f t="shared" si="9"/>
        <v>0</v>
      </c>
      <c r="H65" s="678">
        <f t="shared" si="9"/>
        <v>0</v>
      </c>
      <c r="I65" s="678">
        <f t="shared" si="9"/>
        <v>0</v>
      </c>
      <c r="J65" s="678">
        <f t="shared" si="9"/>
        <v>1</v>
      </c>
      <c r="K65" s="678">
        <f t="shared" si="9"/>
        <v>93</v>
      </c>
      <c r="L65" s="678">
        <f t="shared" si="9"/>
        <v>93</v>
      </c>
      <c r="M65" s="678">
        <f t="shared" si="9"/>
        <v>0</v>
      </c>
      <c r="N65" s="678">
        <f t="shared" si="9"/>
        <v>48</v>
      </c>
      <c r="O65" s="678">
        <f t="shared" si="9"/>
        <v>27</v>
      </c>
      <c r="P65" s="678">
        <f t="shared" si="9"/>
        <v>18</v>
      </c>
      <c r="Q65" s="678">
        <f t="shared" si="9"/>
        <v>0</v>
      </c>
      <c r="R65" s="678">
        <f t="shared" si="9"/>
        <v>1</v>
      </c>
      <c r="S65" s="678">
        <f t="shared" si="9"/>
        <v>2</v>
      </c>
      <c r="T65" s="679">
        <f t="shared" si="9"/>
        <v>90</v>
      </c>
      <c r="U65" s="1188" t="s">
        <v>2126</v>
      </c>
    </row>
    <row r="66" spans="1:21" ht="12.75" customHeight="1">
      <c r="A66" s="159" t="s">
        <v>2127</v>
      </c>
      <c r="B66" s="296"/>
      <c r="C66" s="296"/>
      <c r="D66" s="296"/>
      <c r="E66" s="296"/>
      <c r="F66" s="296"/>
      <c r="G66" s="296"/>
      <c r="H66" s="296"/>
      <c r="I66" s="296"/>
      <c r="J66" s="296"/>
      <c r="K66" s="296"/>
      <c r="L66" s="296"/>
      <c r="M66" s="296"/>
      <c r="N66" s="296"/>
      <c r="O66" s="296"/>
      <c r="P66" s="296"/>
      <c r="Q66" s="296"/>
      <c r="R66" s="296"/>
      <c r="S66" s="296"/>
      <c r="T66" s="296"/>
      <c r="U66" s="423"/>
    </row>
    <row r="67" spans="1:21" ht="12.75" customHeight="1">
      <c r="A67" s="378" t="s">
        <v>1899</v>
      </c>
      <c r="B67" s="618">
        <v>0</v>
      </c>
      <c r="C67" s="618">
        <v>0</v>
      </c>
      <c r="D67" s="618">
        <v>0</v>
      </c>
      <c r="E67" s="618">
        <v>0</v>
      </c>
      <c r="F67" s="618">
        <v>0</v>
      </c>
      <c r="G67" s="618">
        <v>0</v>
      </c>
      <c r="H67" s="674">
        <v>0</v>
      </c>
      <c r="I67" s="616">
        <v>0</v>
      </c>
      <c r="J67" s="674">
        <v>1</v>
      </c>
      <c r="K67" s="680">
        <f>SUM(B67:J67)</f>
        <v>1</v>
      </c>
      <c r="L67" s="616">
        <v>1</v>
      </c>
      <c r="M67" s="616">
        <v>0</v>
      </c>
      <c r="N67" s="616">
        <v>0</v>
      </c>
      <c r="O67" s="616">
        <v>0</v>
      </c>
      <c r="P67" s="616">
        <v>1</v>
      </c>
      <c r="Q67" s="616">
        <v>1</v>
      </c>
      <c r="R67" s="616">
        <v>0</v>
      </c>
      <c r="S67" s="616">
        <v>0</v>
      </c>
      <c r="T67" s="616">
        <v>0</v>
      </c>
      <c r="U67" s="1188" t="s">
        <v>1640</v>
      </c>
    </row>
    <row r="68" spans="1:21" ht="12.75" customHeight="1">
      <c r="A68" s="184" t="s">
        <v>1900</v>
      </c>
      <c r="B68" s="676"/>
      <c r="C68" s="676"/>
      <c r="D68" s="676"/>
      <c r="E68" s="676"/>
      <c r="F68" s="676"/>
      <c r="G68" s="676"/>
      <c r="H68" s="616"/>
      <c r="I68" s="616"/>
      <c r="J68" s="674"/>
      <c r="K68" s="680">
        <f>SUM(B68:J68)</f>
        <v>0</v>
      </c>
      <c r="L68" s="616"/>
      <c r="M68" s="616"/>
      <c r="N68" s="616"/>
      <c r="O68" s="616"/>
      <c r="P68" s="616"/>
      <c r="Q68" s="616"/>
      <c r="R68" s="616"/>
      <c r="S68" s="616"/>
      <c r="T68" s="616"/>
      <c r="U68" s="1188" t="s">
        <v>1648</v>
      </c>
    </row>
    <row r="69" spans="1:21" ht="12.75" customHeight="1">
      <c r="A69" s="960" t="s">
        <v>2127</v>
      </c>
      <c r="B69" s="678">
        <f t="shared" ref="B69:T69" si="10">SUM(B67:B68)</f>
        <v>0</v>
      </c>
      <c r="C69" s="678">
        <f t="shared" si="10"/>
        <v>0</v>
      </c>
      <c r="D69" s="678">
        <f t="shared" si="10"/>
        <v>0</v>
      </c>
      <c r="E69" s="678">
        <f t="shared" si="10"/>
        <v>0</v>
      </c>
      <c r="F69" s="678">
        <f t="shared" si="10"/>
        <v>0</v>
      </c>
      <c r="G69" s="678">
        <f t="shared" si="10"/>
        <v>0</v>
      </c>
      <c r="H69" s="678">
        <f t="shared" si="10"/>
        <v>0</v>
      </c>
      <c r="I69" s="678">
        <f t="shared" si="10"/>
        <v>0</v>
      </c>
      <c r="J69" s="678">
        <f t="shared" si="10"/>
        <v>1</v>
      </c>
      <c r="K69" s="678">
        <f t="shared" si="10"/>
        <v>1</v>
      </c>
      <c r="L69" s="678">
        <f t="shared" si="10"/>
        <v>1</v>
      </c>
      <c r="M69" s="678">
        <f t="shared" si="10"/>
        <v>0</v>
      </c>
      <c r="N69" s="678">
        <f t="shared" si="10"/>
        <v>0</v>
      </c>
      <c r="O69" s="678">
        <f t="shared" si="10"/>
        <v>0</v>
      </c>
      <c r="P69" s="678">
        <f t="shared" si="10"/>
        <v>1</v>
      </c>
      <c r="Q69" s="678">
        <f t="shared" si="10"/>
        <v>1</v>
      </c>
      <c r="R69" s="678">
        <f t="shared" si="10"/>
        <v>0</v>
      </c>
      <c r="S69" s="678">
        <f t="shared" si="10"/>
        <v>0</v>
      </c>
      <c r="T69" s="679">
        <f t="shared" si="10"/>
        <v>0</v>
      </c>
      <c r="U69" s="1188" t="s">
        <v>1649</v>
      </c>
    </row>
    <row r="70" spans="1:21" ht="12.75" customHeight="1">
      <c r="A70" s="183" t="s">
        <v>1650</v>
      </c>
      <c r="B70" s="410"/>
      <c r="C70" s="410"/>
      <c r="D70" s="410"/>
      <c r="E70" s="406"/>
      <c r="F70" s="406"/>
      <c r="G70" s="406"/>
      <c r="H70" s="292"/>
      <c r="I70" s="292"/>
      <c r="J70" s="293"/>
      <c r="K70" s="293"/>
      <c r="L70" s="296"/>
      <c r="M70" s="296"/>
      <c r="N70" s="296"/>
      <c r="O70" s="296"/>
      <c r="P70" s="296"/>
      <c r="Q70" s="296"/>
      <c r="R70" s="296"/>
      <c r="S70" s="296"/>
      <c r="T70" s="296"/>
      <c r="U70" s="423"/>
    </row>
    <row r="71" spans="1:21" ht="12.75" customHeight="1">
      <c r="A71" s="187" t="s">
        <v>1653</v>
      </c>
      <c r="B71" s="676"/>
      <c r="C71" s="676"/>
      <c r="D71" s="676"/>
      <c r="E71" s="676"/>
      <c r="F71" s="676"/>
      <c r="G71" s="676"/>
      <c r="H71" s="616"/>
      <c r="I71" s="616"/>
      <c r="J71" s="674"/>
      <c r="K71" s="675">
        <f>SUM(B71:J71)</f>
        <v>0</v>
      </c>
      <c r="L71" s="616"/>
      <c r="M71" s="616"/>
      <c r="N71" s="616"/>
      <c r="O71" s="616"/>
      <c r="P71" s="616"/>
      <c r="Q71" s="616"/>
      <c r="R71" s="616"/>
      <c r="S71" s="616"/>
      <c r="T71" s="616"/>
      <c r="U71" s="1188" t="s">
        <v>1658</v>
      </c>
    </row>
    <row r="72" spans="1:21" ht="12.75" customHeight="1">
      <c r="A72" s="187" t="s">
        <v>2189</v>
      </c>
      <c r="B72" s="676"/>
      <c r="C72" s="676"/>
      <c r="D72" s="676"/>
      <c r="E72" s="676"/>
      <c r="F72" s="676"/>
      <c r="G72" s="676"/>
      <c r="H72" s="616"/>
      <c r="I72" s="616"/>
      <c r="J72" s="674"/>
      <c r="K72" s="675">
        <f>SUM(B72:J72)</f>
        <v>0</v>
      </c>
      <c r="L72" s="616"/>
      <c r="M72" s="616"/>
      <c r="N72" s="616"/>
      <c r="O72" s="616"/>
      <c r="P72" s="616"/>
      <c r="Q72" s="616"/>
      <c r="R72" s="616"/>
      <c r="S72" s="616"/>
      <c r="T72" s="616"/>
      <c r="U72" s="1188" t="s">
        <v>302</v>
      </c>
    </row>
    <row r="73" spans="1:21" ht="12.75" customHeight="1">
      <c r="A73" s="184" t="s">
        <v>2190</v>
      </c>
      <c r="B73" s="676"/>
      <c r="C73" s="676"/>
      <c r="D73" s="676"/>
      <c r="E73" s="676"/>
      <c r="F73" s="676"/>
      <c r="G73" s="676"/>
      <c r="H73" s="616"/>
      <c r="I73" s="616"/>
      <c r="J73" s="674"/>
      <c r="K73" s="675">
        <f>SUM(B73:J73)</f>
        <v>0</v>
      </c>
      <c r="L73" s="616"/>
      <c r="M73" s="616"/>
      <c r="N73" s="616"/>
      <c r="O73" s="616"/>
      <c r="P73" s="616"/>
      <c r="Q73" s="616"/>
      <c r="R73" s="616"/>
      <c r="S73" s="616"/>
      <c r="T73" s="616"/>
      <c r="U73" s="1188" t="s">
        <v>309</v>
      </c>
    </row>
    <row r="74" spans="1:21" ht="12.75" customHeight="1">
      <c r="A74" s="184" t="s">
        <v>2191</v>
      </c>
      <c r="B74" s="677"/>
      <c r="C74" s="677"/>
      <c r="D74" s="677"/>
      <c r="E74" s="677"/>
      <c r="F74" s="677"/>
      <c r="G74" s="677"/>
      <c r="H74" s="616"/>
      <c r="I74" s="616"/>
      <c r="J74" s="674"/>
      <c r="K74" s="675">
        <f>SUM(B74:J74)</f>
        <v>0</v>
      </c>
      <c r="L74" s="616"/>
      <c r="M74" s="616"/>
      <c r="N74" s="616"/>
      <c r="O74" s="616"/>
      <c r="P74" s="616"/>
      <c r="Q74" s="616"/>
      <c r="R74" s="616"/>
      <c r="S74" s="616"/>
      <c r="T74" s="616"/>
      <c r="U74" s="1188" t="s">
        <v>315</v>
      </c>
    </row>
    <row r="75" spans="1:21" ht="12.75" customHeight="1">
      <c r="A75" s="960" t="s">
        <v>1650</v>
      </c>
      <c r="B75" s="678">
        <f t="shared" ref="B75:T75" si="11">SUM(B71:B74)</f>
        <v>0</v>
      </c>
      <c r="C75" s="678">
        <f t="shared" si="11"/>
        <v>0</v>
      </c>
      <c r="D75" s="678">
        <f t="shared" si="11"/>
        <v>0</v>
      </c>
      <c r="E75" s="678">
        <f t="shared" si="11"/>
        <v>0</v>
      </c>
      <c r="F75" s="678">
        <f t="shared" si="11"/>
        <v>0</v>
      </c>
      <c r="G75" s="678">
        <f t="shared" si="11"/>
        <v>0</v>
      </c>
      <c r="H75" s="678">
        <f t="shared" si="11"/>
        <v>0</v>
      </c>
      <c r="I75" s="678">
        <f t="shared" si="11"/>
        <v>0</v>
      </c>
      <c r="J75" s="678">
        <f t="shared" si="11"/>
        <v>0</v>
      </c>
      <c r="K75" s="678">
        <f t="shared" si="11"/>
        <v>0</v>
      </c>
      <c r="L75" s="678">
        <f t="shared" si="11"/>
        <v>0</v>
      </c>
      <c r="M75" s="678">
        <f t="shared" si="11"/>
        <v>0</v>
      </c>
      <c r="N75" s="678">
        <f t="shared" si="11"/>
        <v>0</v>
      </c>
      <c r="O75" s="678">
        <f t="shared" si="11"/>
        <v>0</v>
      </c>
      <c r="P75" s="678">
        <f t="shared" si="11"/>
        <v>0</v>
      </c>
      <c r="Q75" s="678">
        <f t="shared" si="11"/>
        <v>0</v>
      </c>
      <c r="R75" s="678">
        <f t="shared" si="11"/>
        <v>0</v>
      </c>
      <c r="S75" s="678">
        <f t="shared" si="11"/>
        <v>0</v>
      </c>
      <c r="T75" s="679">
        <f t="shared" si="11"/>
        <v>0</v>
      </c>
      <c r="U75" s="1188" t="s">
        <v>316</v>
      </c>
    </row>
    <row r="76" spans="1:21" ht="12.75" customHeight="1">
      <c r="A76" s="158" t="s">
        <v>2192</v>
      </c>
      <c r="B76" s="408"/>
      <c r="C76" s="408"/>
      <c r="D76" s="408"/>
      <c r="E76" s="406"/>
      <c r="F76" s="406"/>
      <c r="G76" s="406"/>
      <c r="H76" s="292"/>
      <c r="I76" s="292"/>
      <c r="J76" s="296"/>
      <c r="K76" s="407"/>
      <c r="L76" s="296"/>
      <c r="M76" s="296"/>
      <c r="N76" s="296"/>
      <c r="O76" s="296"/>
      <c r="P76" s="296"/>
      <c r="Q76" s="296"/>
      <c r="R76" s="296"/>
      <c r="S76" s="296"/>
      <c r="T76" s="296"/>
      <c r="U76" s="423"/>
    </row>
    <row r="77" spans="1:21" ht="12.75" customHeight="1">
      <c r="A77" s="185" t="s">
        <v>1430</v>
      </c>
      <c r="B77" s="681"/>
      <c r="C77" s="681"/>
      <c r="D77" s="681"/>
      <c r="E77" s="681"/>
      <c r="F77" s="681"/>
      <c r="G77" s="681"/>
      <c r="H77" s="682"/>
      <c r="I77" s="682"/>
      <c r="J77" s="683"/>
      <c r="K77" s="675">
        <f>SUM(B77:J77)</f>
        <v>0</v>
      </c>
      <c r="L77" s="616"/>
      <c r="M77" s="616"/>
      <c r="N77" s="616"/>
      <c r="O77" s="616"/>
      <c r="P77" s="616"/>
      <c r="Q77" s="616"/>
      <c r="R77" s="616"/>
      <c r="S77" s="616"/>
      <c r="T77" s="616"/>
      <c r="U77" s="1188" t="s">
        <v>1800</v>
      </c>
    </row>
    <row r="78" spans="1:21" ht="12.75" customHeight="1">
      <c r="A78" s="184" t="s">
        <v>1431</v>
      </c>
      <c r="B78" s="681"/>
      <c r="C78" s="681"/>
      <c r="D78" s="681"/>
      <c r="E78" s="681"/>
      <c r="F78" s="681"/>
      <c r="G78" s="681"/>
      <c r="H78" s="682"/>
      <c r="I78" s="682"/>
      <c r="J78" s="683"/>
      <c r="K78" s="675">
        <f t="shared" ref="K78:K84" si="12">SUM(B78:J78)</f>
        <v>0</v>
      </c>
      <c r="L78" s="616"/>
      <c r="M78" s="616"/>
      <c r="N78" s="616"/>
      <c r="O78" s="616"/>
      <c r="P78" s="616"/>
      <c r="Q78" s="616"/>
      <c r="R78" s="616"/>
      <c r="S78" s="616"/>
      <c r="T78" s="616"/>
      <c r="U78" s="1188" t="s">
        <v>2220</v>
      </c>
    </row>
    <row r="79" spans="1:21" ht="12.75" customHeight="1">
      <c r="A79" s="211" t="s">
        <v>233</v>
      </c>
      <c r="B79" s="681"/>
      <c r="C79" s="681"/>
      <c r="D79" s="681"/>
      <c r="E79" s="681"/>
      <c r="F79" s="681"/>
      <c r="G79" s="681"/>
      <c r="H79" s="682"/>
      <c r="I79" s="682"/>
      <c r="J79" s="683"/>
      <c r="K79" s="675">
        <f t="shared" si="12"/>
        <v>0</v>
      </c>
      <c r="L79" s="616"/>
      <c r="M79" s="616"/>
      <c r="N79" s="616"/>
      <c r="O79" s="616"/>
      <c r="P79" s="616"/>
      <c r="Q79" s="616"/>
      <c r="R79" s="616"/>
      <c r="S79" s="616"/>
      <c r="T79" s="616"/>
      <c r="U79" s="1188" t="s">
        <v>2227</v>
      </c>
    </row>
    <row r="80" spans="1:21" ht="12.75" customHeight="1">
      <c r="A80" s="212" t="s">
        <v>234</v>
      </c>
      <c r="B80" s="681"/>
      <c r="C80" s="681"/>
      <c r="D80" s="681"/>
      <c r="E80" s="681"/>
      <c r="F80" s="681"/>
      <c r="G80" s="681"/>
      <c r="H80" s="682"/>
      <c r="I80" s="682"/>
      <c r="J80" s="683"/>
      <c r="K80" s="675">
        <f t="shared" si="12"/>
        <v>0</v>
      </c>
      <c r="L80" s="616"/>
      <c r="M80" s="616"/>
      <c r="N80" s="616"/>
      <c r="O80" s="616"/>
      <c r="P80" s="616"/>
      <c r="Q80" s="616"/>
      <c r="R80" s="616"/>
      <c r="S80" s="616"/>
      <c r="T80" s="616"/>
      <c r="U80" s="1188" t="s">
        <v>1065</v>
      </c>
    </row>
    <row r="81" spans="1:21" ht="12.75" customHeight="1">
      <c r="A81" s="187" t="s">
        <v>2233</v>
      </c>
      <c r="B81" s="681"/>
      <c r="C81" s="681"/>
      <c r="D81" s="681"/>
      <c r="E81" s="681"/>
      <c r="F81" s="681"/>
      <c r="G81" s="681"/>
      <c r="H81" s="682"/>
      <c r="I81" s="682"/>
      <c r="J81" s="683"/>
      <c r="K81" s="675">
        <f t="shared" si="12"/>
        <v>0</v>
      </c>
      <c r="L81" s="616"/>
      <c r="M81" s="616"/>
      <c r="N81" s="616"/>
      <c r="O81" s="616"/>
      <c r="P81" s="616"/>
      <c r="Q81" s="616"/>
      <c r="R81" s="616"/>
      <c r="S81" s="616"/>
      <c r="T81" s="616"/>
      <c r="U81" s="1188" t="s">
        <v>1807</v>
      </c>
    </row>
    <row r="82" spans="1:21" ht="12.75" customHeight="1">
      <c r="A82" s="187" t="s">
        <v>1896</v>
      </c>
      <c r="B82" s="677"/>
      <c r="C82" s="677"/>
      <c r="D82" s="677"/>
      <c r="E82" s="677"/>
      <c r="F82" s="677"/>
      <c r="G82" s="677"/>
      <c r="H82" s="682"/>
      <c r="I82" s="682"/>
      <c r="J82" s="683"/>
      <c r="K82" s="675">
        <f t="shared" si="12"/>
        <v>0</v>
      </c>
      <c r="L82" s="616"/>
      <c r="M82" s="616"/>
      <c r="N82" s="616"/>
      <c r="O82" s="616"/>
      <c r="P82" s="616"/>
      <c r="Q82" s="616"/>
      <c r="R82" s="616"/>
      <c r="S82" s="616"/>
      <c r="T82" s="616"/>
      <c r="U82" s="1188" t="s">
        <v>1812</v>
      </c>
    </row>
    <row r="83" spans="1:21" ht="12.75" customHeight="1">
      <c r="A83" s="187" t="s">
        <v>236</v>
      </c>
      <c r="B83" s="677"/>
      <c r="C83" s="677"/>
      <c r="D83" s="677"/>
      <c r="E83" s="677"/>
      <c r="F83" s="677"/>
      <c r="G83" s="677"/>
      <c r="H83" s="616"/>
      <c r="I83" s="616"/>
      <c r="J83" s="674"/>
      <c r="K83" s="675">
        <f t="shared" si="12"/>
        <v>0</v>
      </c>
      <c r="L83" s="616"/>
      <c r="M83" s="616"/>
      <c r="N83" s="616"/>
      <c r="O83" s="616"/>
      <c r="P83" s="616"/>
      <c r="Q83" s="616"/>
      <c r="R83" s="616"/>
      <c r="S83" s="616"/>
      <c r="T83" s="616"/>
      <c r="U83" s="1188" t="s">
        <v>1073</v>
      </c>
    </row>
    <row r="84" spans="1:21" ht="12.75" customHeight="1">
      <c r="A84" s="184" t="s">
        <v>237</v>
      </c>
      <c r="B84" s="677"/>
      <c r="C84" s="677"/>
      <c r="D84" s="677"/>
      <c r="E84" s="677"/>
      <c r="F84" s="677"/>
      <c r="G84" s="677"/>
      <c r="H84" s="616"/>
      <c r="I84" s="616"/>
      <c r="J84" s="674"/>
      <c r="K84" s="675">
        <f t="shared" si="12"/>
        <v>0</v>
      </c>
      <c r="L84" s="616"/>
      <c r="M84" s="616"/>
      <c r="N84" s="616"/>
      <c r="O84" s="616"/>
      <c r="P84" s="616"/>
      <c r="Q84" s="616"/>
      <c r="R84" s="616"/>
      <c r="S84" s="616"/>
      <c r="T84" s="616"/>
      <c r="U84" s="1188" t="s">
        <v>1079</v>
      </c>
    </row>
    <row r="85" spans="1:21" ht="12.75" customHeight="1">
      <c r="A85" s="960" t="s">
        <v>1080</v>
      </c>
      <c r="B85" s="678">
        <f t="shared" ref="B85:I85" si="13">SUM(B77:B84)</f>
        <v>0</v>
      </c>
      <c r="C85" s="678">
        <f t="shared" si="13"/>
        <v>0</v>
      </c>
      <c r="D85" s="678">
        <f t="shared" si="13"/>
        <v>0</v>
      </c>
      <c r="E85" s="678">
        <f t="shared" si="13"/>
        <v>0</v>
      </c>
      <c r="F85" s="678">
        <f t="shared" si="13"/>
        <v>0</v>
      </c>
      <c r="G85" s="678">
        <f t="shared" si="13"/>
        <v>0</v>
      </c>
      <c r="H85" s="678">
        <f t="shared" si="13"/>
        <v>0</v>
      </c>
      <c r="I85" s="678">
        <f t="shared" si="13"/>
        <v>0</v>
      </c>
      <c r="J85" s="678">
        <f>SUM(J77:J84)</f>
        <v>0</v>
      </c>
      <c r="K85" s="678">
        <f t="shared" ref="K85:T85" si="14">SUM(K77:K84)</f>
        <v>0</v>
      </c>
      <c r="L85" s="678">
        <f t="shared" si="14"/>
        <v>0</v>
      </c>
      <c r="M85" s="678">
        <f t="shared" si="14"/>
        <v>0</v>
      </c>
      <c r="N85" s="678">
        <f t="shared" si="14"/>
        <v>0</v>
      </c>
      <c r="O85" s="678">
        <f t="shared" si="14"/>
        <v>0</v>
      </c>
      <c r="P85" s="678">
        <f t="shared" si="14"/>
        <v>0</v>
      </c>
      <c r="Q85" s="678">
        <f t="shared" si="14"/>
        <v>0</v>
      </c>
      <c r="R85" s="678">
        <f t="shared" si="14"/>
        <v>0</v>
      </c>
      <c r="S85" s="678">
        <f t="shared" si="14"/>
        <v>0</v>
      </c>
      <c r="T85" s="679">
        <f t="shared" si="14"/>
        <v>0</v>
      </c>
      <c r="U85" s="1188" t="s">
        <v>1081</v>
      </c>
    </row>
    <row r="86" spans="1:21" ht="12.75" customHeight="1">
      <c r="A86" s="157" t="s">
        <v>1082</v>
      </c>
      <c r="B86" s="408"/>
      <c r="C86" s="408"/>
      <c r="D86" s="408"/>
      <c r="E86" s="409"/>
      <c r="F86" s="409"/>
      <c r="G86" s="409"/>
      <c r="H86" s="295"/>
      <c r="I86" s="295"/>
      <c r="J86" s="296"/>
      <c r="K86" s="407"/>
      <c r="L86" s="296"/>
      <c r="M86" s="296"/>
      <c r="N86" s="296"/>
      <c r="O86" s="296"/>
      <c r="P86" s="296"/>
      <c r="Q86" s="296"/>
      <c r="R86" s="296"/>
      <c r="S86" s="296"/>
      <c r="T86" s="296"/>
      <c r="U86" s="423"/>
    </row>
    <row r="87" spans="1:21" ht="12.75" customHeight="1">
      <c r="A87" s="184" t="s">
        <v>238</v>
      </c>
      <c r="B87" s="681">
        <v>0</v>
      </c>
      <c r="C87" s="681">
        <v>4</v>
      </c>
      <c r="D87" s="681">
        <v>0</v>
      </c>
      <c r="E87" s="681">
        <v>0</v>
      </c>
      <c r="F87" s="681">
        <v>0</v>
      </c>
      <c r="G87" s="681">
        <v>0</v>
      </c>
      <c r="H87" s="682">
        <v>0</v>
      </c>
      <c r="I87" s="682">
        <v>0</v>
      </c>
      <c r="J87" s="683">
        <v>5</v>
      </c>
      <c r="K87" s="675">
        <f>SUM(B87:J87)</f>
        <v>9</v>
      </c>
      <c r="L87" s="616">
        <v>0</v>
      </c>
      <c r="M87" s="616">
        <v>9</v>
      </c>
      <c r="N87" s="616">
        <v>2</v>
      </c>
      <c r="O87" s="616">
        <v>7</v>
      </c>
      <c r="P87" s="616">
        <v>0</v>
      </c>
      <c r="Q87" s="616">
        <v>0</v>
      </c>
      <c r="R87" s="616">
        <v>5</v>
      </c>
      <c r="S87" s="616">
        <v>1</v>
      </c>
      <c r="T87" s="616">
        <v>3</v>
      </c>
      <c r="U87" s="1188" t="s">
        <v>685</v>
      </c>
    </row>
    <row r="88" spans="1:21" ht="12.75" customHeight="1">
      <c r="A88" s="184" t="s">
        <v>239</v>
      </c>
      <c r="B88" s="677">
        <v>1</v>
      </c>
      <c r="C88" s="677">
        <v>35</v>
      </c>
      <c r="D88" s="677">
        <v>0</v>
      </c>
      <c r="E88" s="677">
        <v>0</v>
      </c>
      <c r="F88" s="677">
        <v>0</v>
      </c>
      <c r="G88" s="677">
        <v>0</v>
      </c>
      <c r="H88" s="616">
        <v>0</v>
      </c>
      <c r="I88" s="616">
        <v>0</v>
      </c>
      <c r="J88" s="674">
        <v>0</v>
      </c>
      <c r="K88" s="675">
        <f>SUM(B88:J88)</f>
        <v>36</v>
      </c>
      <c r="L88" s="616">
        <v>36</v>
      </c>
      <c r="M88" s="616">
        <v>0</v>
      </c>
      <c r="N88" s="616">
        <v>28</v>
      </c>
      <c r="O88" s="616">
        <v>4</v>
      </c>
      <c r="P88" s="616">
        <v>4</v>
      </c>
      <c r="Q88" s="616">
        <v>0</v>
      </c>
      <c r="R88" s="616">
        <v>0</v>
      </c>
      <c r="S88" s="616">
        <v>12</v>
      </c>
      <c r="T88" s="616">
        <v>24</v>
      </c>
      <c r="U88" s="1188" t="s">
        <v>693</v>
      </c>
    </row>
    <row r="89" spans="1:21" ht="12.75" customHeight="1">
      <c r="A89" s="960" t="s">
        <v>1082</v>
      </c>
      <c r="B89" s="678">
        <f t="shared" ref="B89:I89" si="15">SUM(B87:B88)</f>
        <v>1</v>
      </c>
      <c r="C89" s="678">
        <f t="shared" si="15"/>
        <v>39</v>
      </c>
      <c r="D89" s="678">
        <f t="shared" si="15"/>
        <v>0</v>
      </c>
      <c r="E89" s="678">
        <f t="shared" si="15"/>
        <v>0</v>
      </c>
      <c r="F89" s="678">
        <f t="shared" si="15"/>
        <v>0</v>
      </c>
      <c r="G89" s="678">
        <f t="shared" si="15"/>
        <v>0</v>
      </c>
      <c r="H89" s="678">
        <f t="shared" si="15"/>
        <v>0</v>
      </c>
      <c r="I89" s="678">
        <f t="shared" si="15"/>
        <v>0</v>
      </c>
      <c r="J89" s="678">
        <f>SUM(J87:J88)</f>
        <v>5</v>
      </c>
      <c r="K89" s="678">
        <f t="shared" ref="K89:T89" si="16">SUM(K87:K88)</f>
        <v>45</v>
      </c>
      <c r="L89" s="678">
        <f t="shared" si="16"/>
        <v>36</v>
      </c>
      <c r="M89" s="678">
        <f t="shared" si="16"/>
        <v>9</v>
      </c>
      <c r="N89" s="678">
        <f t="shared" si="16"/>
        <v>30</v>
      </c>
      <c r="O89" s="678">
        <f t="shared" si="16"/>
        <v>11</v>
      </c>
      <c r="P89" s="678">
        <f t="shared" si="16"/>
        <v>4</v>
      </c>
      <c r="Q89" s="678">
        <f t="shared" si="16"/>
        <v>0</v>
      </c>
      <c r="R89" s="678">
        <f t="shared" si="16"/>
        <v>5</v>
      </c>
      <c r="S89" s="678">
        <f t="shared" si="16"/>
        <v>13</v>
      </c>
      <c r="T89" s="679">
        <f t="shared" si="16"/>
        <v>27</v>
      </c>
      <c r="U89" s="1188" t="s">
        <v>694</v>
      </c>
    </row>
    <row r="90" spans="1:21" ht="12.75" customHeight="1">
      <c r="A90" s="161"/>
      <c r="B90" s="408"/>
      <c r="C90" s="408"/>
      <c r="D90" s="408"/>
      <c r="E90" s="405"/>
      <c r="F90" s="405"/>
      <c r="G90" s="405"/>
      <c r="H90" s="296"/>
      <c r="I90" s="296"/>
      <c r="J90" s="296"/>
      <c r="K90" s="407"/>
      <c r="L90" s="296"/>
      <c r="M90" s="296"/>
      <c r="N90" s="296"/>
      <c r="O90" s="296"/>
      <c r="P90" s="296"/>
      <c r="Q90" s="296"/>
      <c r="R90" s="296"/>
      <c r="S90" s="296"/>
      <c r="T90" s="296"/>
      <c r="U90" s="423"/>
    </row>
    <row r="91" spans="1:21" ht="12.75" customHeight="1">
      <c r="A91" s="960" t="s">
        <v>696</v>
      </c>
      <c r="B91" s="678">
        <f>B52+B65+B69+B75+B85+B89+B44+B39+B28+B20</f>
        <v>50</v>
      </c>
      <c r="C91" s="678">
        <f t="shared" ref="C91:T91" si="17">C52+C65+C69+C75+C85+C89+C44+C39+C28+C20</f>
        <v>688</v>
      </c>
      <c r="D91" s="678">
        <f t="shared" si="17"/>
        <v>14</v>
      </c>
      <c r="E91" s="678">
        <f t="shared" si="17"/>
        <v>1</v>
      </c>
      <c r="F91" s="678">
        <f t="shared" si="17"/>
        <v>0</v>
      </c>
      <c r="G91" s="678">
        <f t="shared" si="17"/>
        <v>0</v>
      </c>
      <c r="H91" s="678">
        <f t="shared" si="17"/>
        <v>0</v>
      </c>
      <c r="I91" s="678">
        <f t="shared" si="17"/>
        <v>3</v>
      </c>
      <c r="J91" s="678">
        <f t="shared" si="17"/>
        <v>143</v>
      </c>
      <c r="K91" s="678">
        <f t="shared" si="17"/>
        <v>899</v>
      </c>
      <c r="L91" s="678">
        <f t="shared" si="17"/>
        <v>631</v>
      </c>
      <c r="M91" s="678">
        <f t="shared" si="17"/>
        <v>268</v>
      </c>
      <c r="N91" s="678">
        <f t="shared" si="17"/>
        <v>453</v>
      </c>
      <c r="O91" s="678">
        <f t="shared" si="17"/>
        <v>239</v>
      </c>
      <c r="P91" s="678">
        <f t="shared" si="17"/>
        <v>207</v>
      </c>
      <c r="Q91" s="678">
        <f t="shared" si="17"/>
        <v>56</v>
      </c>
      <c r="R91" s="678">
        <f t="shared" si="17"/>
        <v>87</v>
      </c>
      <c r="S91" s="678">
        <f t="shared" si="17"/>
        <v>164</v>
      </c>
      <c r="T91" s="679">
        <f t="shared" si="17"/>
        <v>592</v>
      </c>
      <c r="U91" s="1200" t="s">
        <v>697</v>
      </c>
    </row>
    <row r="92" spans="1:21" ht="12.75" customHeight="1">
      <c r="A92" s="162"/>
      <c r="B92" s="539"/>
      <c r="C92" s="539"/>
      <c r="D92" s="539"/>
      <c r="E92" s="539"/>
      <c r="F92" s="539"/>
      <c r="G92" s="539"/>
      <c r="H92" s="539"/>
      <c r="I92" s="539"/>
      <c r="J92" s="539"/>
      <c r="K92" s="294"/>
      <c r="L92" s="294"/>
      <c r="M92" s="294"/>
      <c r="N92" s="294"/>
      <c r="O92" s="294"/>
      <c r="P92" s="294"/>
      <c r="Q92" s="294"/>
      <c r="R92" s="294"/>
      <c r="S92" s="294"/>
    </row>
    <row r="93" spans="1:21" ht="12.75" customHeight="1">
      <c r="A93" s="152" t="s">
        <v>1837</v>
      </c>
      <c r="B93" s="878"/>
      <c r="C93" s="152"/>
      <c r="D93" s="152"/>
      <c r="E93" s="152"/>
      <c r="F93" s="152"/>
      <c r="G93" s="152"/>
      <c r="H93" s="152"/>
      <c r="I93" s="152"/>
      <c r="J93" s="152"/>
      <c r="K93" s="152"/>
      <c r="L93" s="152"/>
      <c r="M93" s="152"/>
      <c r="N93" s="152"/>
      <c r="O93" s="152"/>
      <c r="P93" s="152"/>
      <c r="Q93" s="152"/>
      <c r="R93" s="152"/>
      <c r="S93" s="152"/>
    </row>
  </sheetData>
  <sheetProtection algorithmName="SHA-512" hashValue="sD44UBMOoP3QqRpEBbRyd3WDNqbWX+TJ8X3sZId8WjRxCOTZl1If0mTfnrmSAVuzgIKDjdCXiuskz8g+6WZQ8A==" saltValue="KQYD9HJu5ss5aoClGQRL7w==" spinCount="100000" sheet="1" objects="1" scenarios="1"/>
  <mergeCells count="15">
    <mergeCell ref="G1:H1"/>
    <mergeCell ref="A6:I6"/>
    <mergeCell ref="B8:J8"/>
    <mergeCell ref="L10:M11"/>
    <mergeCell ref="K10:K12"/>
    <mergeCell ref="A3:T3"/>
    <mergeCell ref="S10:T11"/>
    <mergeCell ref="N10:P11"/>
    <mergeCell ref="Q10:R11"/>
    <mergeCell ref="I10:I12"/>
    <mergeCell ref="A5:F5"/>
    <mergeCell ref="A7:B7"/>
    <mergeCell ref="B9:I9"/>
    <mergeCell ref="J9:J12"/>
    <mergeCell ref="B10:H10"/>
  </mergeCells>
  <dataValidations count="1">
    <dataValidation type="whole" allowBlank="1" showInputMessage="1" showErrorMessage="1" errorTitle="Erreur de saisie" error="Vous devez saisir une valeur entière" sqref="B15:J19 L15:T19 B22:J27 L22:T27 B30:J38 L30:T38 B41:J43 L41:T43 B46:J51 L46:T51 B54:J64 L54:T64 B67:J68 L67:T68 B71:J74 L71:T74 B77:J84 L77:T84 B87:J88 L87:T88">
      <formula1>0</formula1>
      <formula2>999999999999</formula2>
    </dataValidation>
  </dataValidations>
  <hyperlinks>
    <hyperlink ref="G1" location="Sommaire!A1" display="Retour Sommaire"/>
  </hyperlinks>
  <printOptions horizontalCentered="1"/>
  <pageMargins left="0.59055118110236227" right="0.59055118110236227" top="0.59055118110236227" bottom="0.59055118110236227" header="0.51181102362204722" footer="0.27559055118110237"/>
  <pageSetup paperSize="9" scale="32" firstPageNumber="0" orientation="portrait" r:id="rId1"/>
  <headerFooter alignWithMargins="0">
    <oddFooter>&amp;LRSU 2020 - Présentation au CTP&amp;R&amp;P/&amp;N
&amp;A</oddFooter>
  </headerFooter>
</worksheet>
</file>

<file path=xl/worksheets/sheet23.xml><?xml version="1.0" encoding="utf-8"?>
<worksheet xmlns="http://schemas.openxmlformats.org/spreadsheetml/2006/main" xmlns:r="http://schemas.openxmlformats.org/officeDocument/2006/relationships">
  <sheetPr codeName="Feuil83">
    <pageSetUpPr fitToPage="1"/>
  </sheetPr>
  <dimension ref="A1:IV50"/>
  <sheetViews>
    <sheetView showGridLines="0" zoomScaleNormal="100" workbookViewId="0"/>
  </sheetViews>
  <sheetFormatPr baseColWidth="10" defaultColWidth="10.85546875" defaultRowHeight="12.75"/>
  <cols>
    <col min="1" max="7" width="10.85546875" style="1093" customWidth="1"/>
    <col min="8" max="8" width="13.42578125" style="1093" customWidth="1"/>
    <col min="9" max="16384" width="10.85546875" style="1093"/>
  </cols>
  <sheetData>
    <row r="1" spans="1:9" customFormat="1" ht="17.100000000000001" customHeight="1">
      <c r="A1" s="1"/>
      <c r="B1" s="1"/>
      <c r="C1" s="1"/>
      <c r="D1" s="2245" t="s">
        <v>958</v>
      </c>
      <c r="E1" s="2245"/>
      <c r="F1" s="1"/>
      <c r="G1" s="1"/>
      <c r="H1" s="1"/>
      <c r="I1" s="1"/>
    </row>
    <row r="2" spans="1:9" customFormat="1" ht="13.5" thickBot="1"/>
    <row r="3" spans="1:9" s="1167" customFormat="1" ht="25.5" customHeight="1">
      <c r="A3" s="2361" t="s">
        <v>2345</v>
      </c>
      <c r="B3" s="2361"/>
      <c r="C3" s="2361"/>
      <c r="D3" s="2361"/>
      <c r="E3" s="2361"/>
      <c r="F3" s="2361"/>
      <c r="G3" s="2361"/>
      <c r="H3" s="2361"/>
    </row>
    <row r="4" spans="1:9" s="1094" customFormat="1" ht="13.5" thickBot="1">
      <c r="A4" s="2362" t="s">
        <v>855</v>
      </c>
      <c r="B4" s="2362"/>
      <c r="C4" s="2362"/>
      <c r="D4" s="2362"/>
      <c r="E4" s="2362"/>
      <c r="F4" s="2362"/>
      <c r="G4" s="2362"/>
      <c r="H4" s="2362"/>
    </row>
    <row r="5" spans="1:9" customFormat="1"/>
    <row r="6" spans="1:9" customFormat="1"/>
    <row r="7" spans="1:9" s="1168" customFormat="1" ht="12.75" customHeight="1">
      <c r="A7" s="2242" t="s">
        <v>6</v>
      </c>
      <c r="B7" s="2242"/>
      <c r="C7" s="2242"/>
      <c r="D7" s="2242"/>
      <c r="E7" s="2242"/>
      <c r="F7" s="2242"/>
      <c r="G7" s="2242"/>
      <c r="H7" s="2242"/>
    </row>
    <row r="8" spans="1:9" s="1096" customFormat="1" ht="12.75" customHeight="1">
      <c r="A8" s="2244" t="s">
        <v>1861</v>
      </c>
      <c r="B8" s="2244"/>
      <c r="C8" s="2244"/>
      <c r="D8" s="2244"/>
      <c r="E8" s="2244"/>
      <c r="F8" s="2244"/>
      <c r="G8" s="2244"/>
      <c r="H8" s="2244"/>
    </row>
    <row r="9" spans="1:9" customFormat="1" ht="12.75" customHeight="1"/>
    <row r="10" spans="1:9" customFormat="1"/>
    <row r="11" spans="1:9" s="1095" customFormat="1" ht="12.75" customHeight="1">
      <c r="A11" s="2244" t="s">
        <v>959</v>
      </c>
      <c r="B11" s="2244"/>
      <c r="C11" s="2244"/>
      <c r="D11" s="2244"/>
      <c r="E11" s="2244"/>
      <c r="F11" s="2244"/>
      <c r="G11" s="2244"/>
      <c r="H11" s="2244"/>
    </row>
    <row r="12" spans="1:9" customFormat="1"/>
    <row r="13" spans="1:9" s="1095" customFormat="1" ht="12.75" customHeight="1">
      <c r="A13" s="2239" t="s">
        <v>457</v>
      </c>
      <c r="B13" s="2239"/>
      <c r="C13" s="2239"/>
      <c r="D13" s="2239"/>
      <c r="E13" s="2239"/>
      <c r="F13" s="2239"/>
      <c r="G13" s="2239"/>
      <c r="H13" s="2239"/>
    </row>
    <row r="14" spans="1:9" customFormat="1" ht="12.75" customHeight="1"/>
    <row r="15" spans="1:9" s="1096" customFormat="1" ht="12.75" customHeight="1">
      <c r="A15" s="2239" t="s">
        <v>458</v>
      </c>
      <c r="B15" s="2239"/>
      <c r="C15" s="2239"/>
      <c r="D15" s="2239"/>
      <c r="E15" s="2239"/>
      <c r="F15" s="2239"/>
      <c r="G15" s="2239"/>
      <c r="H15" s="2239"/>
    </row>
    <row r="16" spans="1:9" s="1095" customFormat="1" ht="12.75" customHeight="1">
      <c r="A16" s="2363" t="s">
        <v>1845</v>
      </c>
      <c r="B16" s="2363"/>
      <c r="C16" s="2363"/>
      <c r="D16" s="2363"/>
      <c r="E16" s="2363"/>
      <c r="F16" s="2363"/>
      <c r="G16" s="2363"/>
      <c r="H16" s="2363"/>
    </row>
    <row r="17" spans="1:256" customFormat="1" ht="12.75" customHeight="1"/>
    <row r="18" spans="1:256" s="1095" customFormat="1" ht="12.75" customHeight="1">
      <c r="A18" s="2239" t="s">
        <v>2586</v>
      </c>
      <c r="B18" s="2239"/>
      <c r="C18" s="2239"/>
      <c r="D18" s="2239"/>
      <c r="E18" s="2239"/>
      <c r="F18" s="2239"/>
      <c r="G18" s="2239"/>
      <c r="H18" s="2239"/>
    </row>
    <row r="19" spans="1:256" customFormat="1" ht="12.75" customHeight="1"/>
    <row r="20" spans="1:256" s="1095" customFormat="1" ht="12.75" customHeight="1">
      <c r="A20" s="2364" t="s">
        <v>459</v>
      </c>
      <c r="B20" s="2364"/>
      <c r="C20" s="2364"/>
      <c r="D20" s="2364"/>
      <c r="E20" s="2364"/>
      <c r="F20" s="2364"/>
      <c r="G20" s="2364"/>
      <c r="H20" s="2364"/>
    </row>
    <row r="21" spans="1:256" customFormat="1" ht="12.75" customHeight="1"/>
    <row r="22" spans="1:256" customFormat="1"/>
    <row r="23" spans="1:256" s="1095" customFormat="1" ht="12.75" customHeight="1">
      <c r="A23" s="2244" t="s">
        <v>960</v>
      </c>
      <c r="B23" s="2244"/>
      <c r="C23" s="2244"/>
      <c r="D23" s="2244"/>
      <c r="E23" s="2244"/>
      <c r="F23" s="2244"/>
      <c r="G23" s="2244"/>
      <c r="H23" s="2244"/>
    </row>
    <row r="24" spans="1:256" customFormat="1"/>
    <row r="25" spans="1:256" s="1096" customFormat="1" ht="12.75" customHeight="1">
      <c r="A25" s="2239" t="s">
        <v>460</v>
      </c>
      <c r="B25" s="2239"/>
      <c r="C25" s="2239"/>
      <c r="D25" s="2239"/>
      <c r="E25" s="2239"/>
      <c r="F25" s="2239"/>
      <c r="G25" s="2239"/>
      <c r="H25" s="2239"/>
    </row>
    <row r="26" spans="1:256" s="1095" customFormat="1" ht="38.25" customHeight="1">
      <c r="A26" s="2323" t="s">
        <v>461</v>
      </c>
      <c r="B26" s="2323"/>
      <c r="C26" s="2323"/>
      <c r="D26" s="2323"/>
      <c r="E26" s="2323"/>
      <c r="F26" s="2323"/>
      <c r="G26" s="2323"/>
      <c r="H26" s="2323"/>
      <c r="I26" s="1169"/>
    </row>
    <row r="27" spans="1:256" customFormat="1" ht="10.5" customHeight="1"/>
    <row r="28" spans="1:256" s="1098" customFormat="1" ht="12.75" customHeight="1">
      <c r="A28" s="2239" t="s">
        <v>462</v>
      </c>
      <c r="B28" s="2239"/>
      <c r="C28" s="2239"/>
      <c r="D28" s="2239"/>
      <c r="E28" s="2239"/>
      <c r="F28" s="2239"/>
      <c r="G28" s="1096"/>
      <c r="H28" s="1096"/>
      <c r="I28" s="1096"/>
      <c r="J28" s="1096"/>
      <c r="K28" s="1097"/>
      <c r="L28" s="1097"/>
      <c r="M28" s="1097"/>
      <c r="N28" s="1097"/>
      <c r="O28" s="1097"/>
      <c r="P28" s="1097"/>
      <c r="Q28" s="1097"/>
      <c r="R28" s="1097"/>
      <c r="S28" s="1097"/>
      <c r="T28" s="1097"/>
      <c r="U28" s="1097"/>
      <c r="V28" s="1097"/>
      <c r="W28" s="1097"/>
      <c r="X28" s="1097"/>
      <c r="Y28" s="1097"/>
      <c r="Z28" s="1097"/>
      <c r="AA28" s="1097"/>
      <c r="AB28" s="1097"/>
      <c r="AC28" s="1097"/>
      <c r="AD28" s="1097"/>
      <c r="AE28" s="1097"/>
      <c r="AF28" s="1097"/>
      <c r="AG28" s="1097"/>
      <c r="AH28" s="1097"/>
      <c r="AI28" s="1097"/>
      <c r="AJ28" s="1097"/>
      <c r="AK28" s="1097"/>
      <c r="AL28" s="1097"/>
      <c r="AM28" s="1097"/>
      <c r="AN28" s="1097"/>
      <c r="AO28" s="1097"/>
      <c r="AP28" s="1097"/>
      <c r="AQ28" s="1097"/>
      <c r="AR28" s="1097"/>
      <c r="AS28" s="1097"/>
      <c r="AT28" s="1097"/>
      <c r="AU28" s="1097"/>
      <c r="AV28" s="1097"/>
      <c r="AW28" s="1097"/>
      <c r="AX28" s="1097"/>
      <c r="AY28" s="1097"/>
      <c r="AZ28" s="1097"/>
      <c r="BA28" s="1097"/>
      <c r="BB28" s="1097"/>
      <c r="BC28" s="1097"/>
      <c r="BD28" s="1097"/>
      <c r="BE28" s="1097"/>
      <c r="BF28" s="1097"/>
      <c r="BG28" s="1097"/>
      <c r="BH28" s="1097"/>
      <c r="BI28" s="1097"/>
      <c r="BJ28" s="1097"/>
      <c r="BK28" s="1097"/>
      <c r="BL28" s="1097"/>
      <c r="BM28" s="1097"/>
      <c r="BN28" s="1097"/>
      <c r="BO28" s="1097"/>
      <c r="BP28" s="1097"/>
      <c r="BQ28" s="1097"/>
      <c r="BR28" s="1097"/>
      <c r="BS28" s="1097"/>
      <c r="BT28" s="1097"/>
      <c r="BU28" s="1097"/>
      <c r="BV28" s="1097"/>
      <c r="BW28" s="1097"/>
      <c r="BX28" s="1097"/>
      <c r="BY28" s="1097"/>
      <c r="BZ28" s="1097"/>
      <c r="CA28" s="1097"/>
      <c r="CB28" s="1097"/>
      <c r="CC28" s="1097"/>
      <c r="CD28" s="1097"/>
      <c r="CE28" s="1097"/>
      <c r="CF28" s="1097"/>
      <c r="CG28" s="1097"/>
      <c r="CH28" s="1097"/>
      <c r="CI28" s="1097"/>
      <c r="CJ28" s="1097"/>
      <c r="CK28" s="1097"/>
      <c r="CL28" s="1097"/>
      <c r="CM28" s="1097"/>
      <c r="CN28" s="1097"/>
      <c r="CO28" s="1097"/>
      <c r="CP28" s="1097"/>
      <c r="CQ28" s="1097"/>
      <c r="CR28" s="1097"/>
      <c r="CS28" s="1097"/>
      <c r="CT28" s="1097"/>
      <c r="CU28" s="1097"/>
      <c r="CV28" s="1097"/>
      <c r="CW28" s="1097"/>
      <c r="CX28" s="1097"/>
      <c r="CY28" s="1097"/>
      <c r="CZ28" s="1097"/>
      <c r="DA28" s="1097"/>
      <c r="DB28" s="1097"/>
      <c r="DC28" s="1097"/>
      <c r="DD28" s="1097"/>
      <c r="DE28" s="1097"/>
      <c r="DF28" s="1097"/>
      <c r="DG28" s="1097"/>
      <c r="DH28" s="1097"/>
      <c r="DI28" s="1097"/>
      <c r="DJ28" s="1097"/>
      <c r="DK28" s="1097"/>
      <c r="DL28" s="1097"/>
      <c r="DM28" s="1097"/>
      <c r="DN28" s="1097"/>
      <c r="DO28" s="1097"/>
      <c r="DP28" s="1097"/>
      <c r="DQ28" s="1097"/>
      <c r="DR28" s="1097"/>
      <c r="DS28" s="1097"/>
      <c r="DT28" s="1097"/>
      <c r="DU28" s="1097"/>
      <c r="DV28" s="1097"/>
      <c r="DW28" s="1097"/>
      <c r="DX28" s="1097"/>
      <c r="DY28" s="1097"/>
      <c r="DZ28" s="1097"/>
      <c r="EA28" s="1097"/>
      <c r="EB28" s="1097"/>
      <c r="EC28" s="1097"/>
      <c r="ED28" s="1097"/>
      <c r="EE28" s="1097"/>
      <c r="EF28" s="1097"/>
      <c r="EG28" s="1097"/>
      <c r="EH28" s="1097"/>
      <c r="EI28" s="1097"/>
      <c r="EJ28" s="1097"/>
      <c r="EK28" s="1097"/>
      <c r="EL28" s="1097"/>
      <c r="EM28" s="1097"/>
      <c r="EN28" s="1097"/>
      <c r="EO28" s="1097"/>
      <c r="EP28" s="1097"/>
      <c r="EQ28" s="1097"/>
      <c r="ER28" s="1097"/>
      <c r="ES28" s="1097"/>
      <c r="ET28" s="1097"/>
      <c r="EU28" s="1097"/>
      <c r="EV28" s="1097"/>
      <c r="EW28" s="1097"/>
      <c r="EX28" s="1097"/>
      <c r="EY28" s="1097"/>
      <c r="EZ28" s="1097"/>
      <c r="FA28" s="1097"/>
      <c r="FB28" s="1097"/>
      <c r="FC28" s="1097"/>
      <c r="FD28" s="1097"/>
      <c r="FE28" s="1097"/>
      <c r="FF28" s="1097"/>
      <c r="FG28" s="1097"/>
      <c r="FH28" s="1097"/>
      <c r="FI28" s="1097"/>
      <c r="FJ28" s="1097"/>
      <c r="FK28" s="1097"/>
      <c r="FL28" s="1097"/>
      <c r="FM28" s="1097"/>
      <c r="FN28" s="1097"/>
      <c r="FO28" s="1097"/>
      <c r="FP28" s="1097"/>
      <c r="FQ28" s="1097"/>
      <c r="FR28" s="1097"/>
      <c r="FS28" s="1097"/>
      <c r="FT28" s="1097"/>
      <c r="FU28" s="1097"/>
      <c r="FV28" s="1097"/>
      <c r="FW28" s="1097"/>
      <c r="FX28" s="1097"/>
      <c r="FY28" s="1097"/>
      <c r="FZ28" s="1097"/>
      <c r="GA28" s="1097"/>
      <c r="GB28" s="1097"/>
      <c r="GC28" s="1097"/>
      <c r="GD28" s="1097"/>
      <c r="GE28" s="1097"/>
      <c r="GF28" s="1097"/>
      <c r="GG28" s="1097"/>
      <c r="GH28" s="1097"/>
      <c r="GI28" s="1097"/>
      <c r="GJ28" s="1097"/>
      <c r="GK28" s="1097"/>
      <c r="GL28" s="1097"/>
      <c r="GM28" s="1097"/>
      <c r="GN28" s="1097"/>
      <c r="GO28" s="1097"/>
      <c r="GP28" s="1097"/>
      <c r="GQ28" s="1097"/>
      <c r="GR28" s="1097"/>
      <c r="GS28" s="1097"/>
      <c r="GT28" s="1097"/>
      <c r="GU28" s="1097"/>
      <c r="GV28" s="1097"/>
      <c r="GW28" s="1097"/>
      <c r="GX28" s="1097"/>
      <c r="GY28" s="1097"/>
      <c r="GZ28" s="1097"/>
      <c r="HA28" s="1097"/>
      <c r="HB28" s="1097"/>
      <c r="HC28" s="1097"/>
      <c r="HD28" s="1097"/>
      <c r="HE28" s="1097"/>
      <c r="HF28" s="1097"/>
      <c r="HG28" s="1097"/>
      <c r="HH28" s="1097"/>
      <c r="HI28" s="1097"/>
      <c r="HJ28" s="1097"/>
      <c r="HK28" s="1097"/>
      <c r="HL28" s="1097"/>
      <c r="HM28" s="1097"/>
      <c r="HN28" s="1097"/>
      <c r="HO28" s="1097"/>
      <c r="HP28" s="1097"/>
      <c r="HQ28" s="1097"/>
      <c r="HR28" s="1097"/>
      <c r="HS28" s="1097"/>
      <c r="HT28" s="1097"/>
      <c r="HU28" s="1097"/>
      <c r="HV28" s="1097"/>
      <c r="HW28" s="1097"/>
      <c r="HX28" s="1097"/>
      <c r="HY28" s="1097"/>
      <c r="HZ28" s="1097"/>
      <c r="IA28" s="1097"/>
      <c r="IB28" s="1097"/>
      <c r="IC28" s="1097"/>
      <c r="ID28" s="1097"/>
      <c r="IE28" s="1097"/>
      <c r="IF28" s="1097"/>
      <c r="IG28" s="1097"/>
      <c r="IH28" s="1097"/>
      <c r="II28" s="1097"/>
      <c r="IJ28" s="1097"/>
      <c r="IK28" s="1097"/>
      <c r="IL28" s="1097"/>
      <c r="IM28" s="1097"/>
      <c r="IN28" s="1097"/>
      <c r="IO28" s="1097"/>
      <c r="IP28" s="1097"/>
      <c r="IQ28" s="1097"/>
      <c r="IR28" s="1097"/>
      <c r="IS28" s="1097"/>
      <c r="IT28" s="1097"/>
      <c r="IU28" s="1097"/>
      <c r="IV28" s="1097"/>
    </row>
    <row r="29" spans="1:256" ht="12.75" customHeight="1">
      <c r="A29" s="2258" t="s">
        <v>463</v>
      </c>
      <c r="B29" s="2259"/>
      <c r="C29" s="2259"/>
      <c r="D29" s="2259"/>
      <c r="E29" s="2259"/>
      <c r="F29" s="2259"/>
      <c r="G29" s="1095"/>
      <c r="H29" s="1095"/>
      <c r="I29" s="1095"/>
      <c r="J29" s="1095"/>
    </row>
    <row r="30" spans="1:256" ht="12.75" customHeight="1">
      <c r="A30" s="2258" t="s">
        <v>464</v>
      </c>
      <c r="B30" s="2259"/>
      <c r="C30" s="2259"/>
      <c r="D30" s="2259"/>
      <c r="E30" s="2259"/>
      <c r="F30" s="2259"/>
      <c r="G30" s="1095"/>
      <c r="H30" s="1095"/>
      <c r="I30" s="1095"/>
      <c r="J30" s="1095"/>
    </row>
    <row r="31" spans="1:256" customFormat="1" ht="12.75" customHeight="1"/>
    <row r="32" spans="1:256" customFormat="1"/>
    <row r="33" spans="1:8" s="1095" customFormat="1" ht="12.75" customHeight="1">
      <c r="A33" s="2276" t="s">
        <v>698</v>
      </c>
      <c r="B33" s="2276"/>
      <c r="C33" s="2276"/>
      <c r="D33" s="2276"/>
      <c r="E33" s="2276"/>
      <c r="F33" s="2276"/>
      <c r="G33" s="2276"/>
      <c r="H33" s="2276"/>
    </row>
    <row r="34" spans="1:8" s="1095" customFormat="1" ht="25.5" customHeight="1">
      <c r="A34" s="2365" t="s">
        <v>465</v>
      </c>
      <c r="B34" s="2365"/>
      <c r="C34" s="2365"/>
      <c r="D34" s="2365"/>
      <c r="E34" s="2365"/>
      <c r="F34" s="2365"/>
      <c r="G34" s="2365"/>
      <c r="H34" s="2365"/>
    </row>
    <row r="35" spans="1:8" s="1095" customFormat="1" ht="68.25" customHeight="1">
      <c r="A35" s="2366" t="s">
        <v>466</v>
      </c>
      <c r="B35" s="2366"/>
      <c r="C35" s="2366"/>
      <c r="D35" s="2366"/>
      <c r="E35" s="2366"/>
      <c r="F35" s="2366"/>
      <c r="G35" s="2366"/>
      <c r="H35" s="2366"/>
    </row>
    <row r="36" spans="1:8" customFormat="1"/>
    <row r="37" spans="1:8" customFormat="1"/>
    <row r="38" spans="1:8" customFormat="1"/>
    <row r="39" spans="1:8" customFormat="1"/>
    <row r="40" spans="1:8" customFormat="1"/>
    <row r="41" spans="1:8" customFormat="1"/>
    <row r="42" spans="1:8" customFormat="1"/>
    <row r="43" spans="1:8" customFormat="1"/>
    <row r="44" spans="1:8" customFormat="1"/>
    <row r="45" spans="1:8" customFormat="1"/>
    <row r="46" spans="1:8" customFormat="1"/>
    <row r="47" spans="1:8" customFormat="1"/>
    <row r="48" spans="1:8" customFormat="1"/>
    <row r="49" customFormat="1"/>
    <row r="50" customFormat="1"/>
  </sheetData>
  <sheetProtection algorithmName="SHA-512" hashValue="tptPfRi073gHWU2iXGa2kDhXhT+A41GIuT6MN1eyKujsIKSNRCWLRZMf5av57+ngeKxd1w/JX5UnykvpRjcxdg==" saltValue="Qbn5QRLlmzCUlYqeJpfOEQ==" spinCount="100000" sheet="1" objects="1" scenarios="1"/>
  <mergeCells count="20">
    <mergeCell ref="A34:H34"/>
    <mergeCell ref="A35:H35"/>
    <mergeCell ref="A25:H25"/>
    <mergeCell ref="A26:H26"/>
    <mergeCell ref="A28:F28"/>
    <mergeCell ref="A29:F29"/>
    <mergeCell ref="A30:F30"/>
    <mergeCell ref="A33:H33"/>
    <mergeCell ref="A23:H23"/>
    <mergeCell ref="D1:E1"/>
    <mergeCell ref="A3:H3"/>
    <mergeCell ref="A4:H4"/>
    <mergeCell ref="A7:H7"/>
    <mergeCell ref="A8:H8"/>
    <mergeCell ref="A11:H11"/>
    <mergeCell ref="A13:H13"/>
    <mergeCell ref="A15:H15"/>
    <mergeCell ref="A16:H16"/>
    <mergeCell ref="A18:H18"/>
    <mergeCell ref="A20:H20"/>
  </mergeCell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firstPageNumber="0" orientation="portrait" r:id="rId1"/>
  <headerFooter alignWithMargins="0">
    <oddFooter>&amp;LRSU 2020 - Présentation au CTP&amp;R&amp;P/&amp;N
&amp;A</oddFooter>
  </headerFooter>
</worksheet>
</file>

<file path=xl/worksheets/sheet24.xml><?xml version="1.0" encoding="utf-8"?>
<worksheet xmlns="http://schemas.openxmlformats.org/spreadsheetml/2006/main" xmlns:r="http://schemas.openxmlformats.org/officeDocument/2006/relationships">
  <sheetPr codeName="Feuil16">
    <pageSetUpPr fitToPage="1"/>
  </sheetPr>
  <dimension ref="A1:L93"/>
  <sheetViews>
    <sheetView showGridLines="0" workbookViewId="0">
      <pane ySplit="13" topLeftCell="A14" activePane="bottomLeft" state="frozen"/>
      <selection activeCell="H29" sqref="H29:AB29"/>
      <selection pane="bottomLeft"/>
    </sheetView>
  </sheetViews>
  <sheetFormatPr baseColWidth="10" defaultColWidth="10.85546875" defaultRowHeight="12.75" customHeight="1"/>
  <cols>
    <col min="1" max="1" width="64.42578125" customWidth="1"/>
    <col min="2" max="11" width="12.7109375" customWidth="1"/>
    <col min="12" max="12" width="11.28515625" customWidth="1"/>
  </cols>
  <sheetData>
    <row r="1" spans="1:12" ht="17.100000000000001" customHeight="1">
      <c r="A1" s="66"/>
      <c r="B1" s="55"/>
      <c r="C1" s="55"/>
      <c r="D1" s="2245" t="s">
        <v>958</v>
      </c>
      <c r="E1" s="2245"/>
      <c r="F1" s="55"/>
      <c r="G1" s="55"/>
      <c r="H1" s="55"/>
      <c r="I1" s="55"/>
      <c r="J1" s="55"/>
      <c r="K1" s="55"/>
      <c r="L1" s="9"/>
    </row>
    <row r="2" spans="1:12" ht="12.75" customHeight="1">
      <c r="A2" s="66"/>
      <c r="B2" s="66"/>
      <c r="C2" s="66"/>
      <c r="D2" s="66"/>
      <c r="E2" s="66"/>
      <c r="F2" s="66"/>
      <c r="G2" s="66"/>
      <c r="H2" s="66"/>
      <c r="I2" s="66"/>
      <c r="J2" s="267"/>
      <c r="K2" s="267"/>
      <c r="L2" s="9"/>
    </row>
    <row r="3" spans="1:12" ht="12.75" customHeight="1">
      <c r="A3" s="2368" t="s">
        <v>2346</v>
      </c>
      <c r="B3" s="2368"/>
      <c r="C3" s="2368"/>
      <c r="D3" s="2368"/>
      <c r="E3" s="2368"/>
      <c r="F3" s="2368"/>
      <c r="G3" s="2368"/>
      <c r="H3" s="2368"/>
      <c r="I3" s="2368"/>
      <c r="J3" s="2368"/>
      <c r="K3" s="2368"/>
      <c r="L3" s="9"/>
    </row>
    <row r="4" spans="1:12" ht="12.75" customHeight="1">
      <c r="A4" s="2369" t="s">
        <v>1473</v>
      </c>
      <c r="B4" s="2369"/>
      <c r="C4" s="2369"/>
      <c r="D4" s="2369"/>
      <c r="E4" s="2369"/>
      <c r="F4" s="2369"/>
      <c r="G4" s="2369"/>
      <c r="H4" s="2369"/>
      <c r="I4" s="2369"/>
      <c r="J4" s="2369"/>
      <c r="K4" s="2369"/>
      <c r="L4" s="9"/>
    </row>
    <row r="5" spans="1:12" ht="12.75" customHeight="1">
      <c r="A5" s="66"/>
      <c r="B5" s="340"/>
      <c r="C5" s="340"/>
      <c r="D5" s="340"/>
      <c r="E5" s="340"/>
      <c r="F5" s="340"/>
      <c r="G5" s="340"/>
      <c r="H5" s="340"/>
      <c r="I5" s="340"/>
      <c r="J5" s="340"/>
      <c r="K5" s="55"/>
      <c r="L5" s="35"/>
    </row>
    <row r="6" spans="1:12" ht="12.75" customHeight="1">
      <c r="A6" s="2370" t="s">
        <v>2347</v>
      </c>
      <c r="B6" s="2370"/>
      <c r="C6" s="2370"/>
      <c r="D6" s="2370"/>
      <c r="E6" s="2370"/>
      <c r="F6" s="2289"/>
      <c r="G6" s="2289"/>
      <c r="H6" s="2289"/>
      <c r="I6" s="2289"/>
      <c r="J6" s="2289"/>
      <c r="K6" s="2289"/>
      <c r="L6" s="414"/>
    </row>
    <row r="7" spans="1:12" ht="12.75" customHeight="1">
      <c r="A7" s="2326" t="s">
        <v>649</v>
      </c>
      <c r="B7" s="2326"/>
      <c r="C7" s="2326"/>
      <c r="D7" s="2326"/>
      <c r="E7" s="2326"/>
      <c r="F7" s="2326"/>
      <c r="G7" s="2326"/>
      <c r="H7" s="2326"/>
      <c r="I7" s="2326"/>
      <c r="J7" s="55"/>
      <c r="K7" s="55"/>
      <c r="L7" s="414"/>
    </row>
    <row r="8" spans="1:12" ht="12.75" customHeight="1">
      <c r="A8" s="2279"/>
      <c r="B8" s="2279"/>
      <c r="C8" s="2279"/>
      <c r="D8" s="2279"/>
      <c r="E8" s="2279"/>
      <c r="F8" s="2279"/>
      <c r="G8" s="2279"/>
      <c r="H8" s="2279"/>
      <c r="I8" s="2279"/>
      <c r="J8" s="55"/>
      <c r="K8" s="55"/>
      <c r="L8" s="414"/>
    </row>
    <row r="9" spans="1:12" ht="12.75" customHeight="1">
      <c r="A9" s="936"/>
      <c r="B9" s="1191">
        <v>10</v>
      </c>
      <c r="C9" s="1190">
        <v>10</v>
      </c>
      <c r="D9" s="1196">
        <v>21</v>
      </c>
      <c r="E9" s="1196">
        <v>21</v>
      </c>
      <c r="F9" s="1196">
        <v>22</v>
      </c>
      <c r="G9" s="1196">
        <v>22</v>
      </c>
      <c r="H9" s="1196">
        <v>23</v>
      </c>
      <c r="I9" s="1196">
        <v>23</v>
      </c>
      <c r="J9" s="1201" t="s">
        <v>697</v>
      </c>
      <c r="K9" s="1201" t="s">
        <v>697</v>
      </c>
      <c r="L9" s="1190" t="s">
        <v>1951</v>
      </c>
    </row>
    <row r="10" spans="1:12" ht="36.75" customHeight="1">
      <c r="A10" s="55"/>
      <c r="B10" s="2257" t="s">
        <v>671</v>
      </c>
      <c r="C10" s="2257"/>
      <c r="D10" s="2257"/>
      <c r="E10" s="2257"/>
      <c r="F10" s="2257"/>
      <c r="G10" s="2257"/>
      <c r="H10" s="2257"/>
      <c r="I10" s="2257"/>
      <c r="J10" s="2367" t="s">
        <v>768</v>
      </c>
      <c r="K10" s="2367"/>
      <c r="L10" s="419"/>
    </row>
    <row r="11" spans="1:12" ht="38.25" customHeight="1">
      <c r="A11" s="55"/>
      <c r="B11" s="2281" t="s">
        <v>1952</v>
      </c>
      <c r="C11" s="2281"/>
      <c r="D11" s="2257" t="s">
        <v>1953</v>
      </c>
      <c r="E11" s="2257"/>
      <c r="F11" s="2257"/>
      <c r="G11" s="2257"/>
      <c r="H11" s="2257"/>
      <c r="I11" s="2257"/>
      <c r="J11" s="2367"/>
      <c r="K11" s="2367"/>
      <c r="L11" s="419"/>
    </row>
    <row r="12" spans="1:12" ht="26.25" customHeight="1">
      <c r="A12" s="338"/>
      <c r="B12" s="2282">
        <v>1</v>
      </c>
      <c r="C12" s="2282"/>
      <c r="D12" s="2257" t="s">
        <v>1954</v>
      </c>
      <c r="E12" s="2257"/>
      <c r="F12" s="2282" t="s">
        <v>1955</v>
      </c>
      <c r="G12" s="2282"/>
      <c r="H12" s="2282" t="s">
        <v>1956</v>
      </c>
      <c r="I12" s="2282"/>
      <c r="J12" s="2367"/>
      <c r="K12" s="2367"/>
      <c r="L12" s="422"/>
    </row>
    <row r="13" spans="1:12" ht="24">
      <c r="A13" s="400"/>
      <c r="B13" s="213" t="s">
        <v>1969</v>
      </c>
      <c r="C13" s="213" t="s">
        <v>1970</v>
      </c>
      <c r="D13" s="213" t="s">
        <v>1971</v>
      </c>
      <c r="E13" s="213" t="s">
        <v>1972</v>
      </c>
      <c r="F13" s="213" t="s">
        <v>1973</v>
      </c>
      <c r="G13" s="213" t="s">
        <v>1974</v>
      </c>
      <c r="H13" s="213" t="s">
        <v>1975</v>
      </c>
      <c r="I13" s="213" t="s">
        <v>1976</v>
      </c>
      <c r="J13" s="465" t="s">
        <v>707</v>
      </c>
      <c r="K13" s="465" t="s">
        <v>708</v>
      </c>
      <c r="L13" s="35"/>
    </row>
    <row r="14" spans="1:12">
      <c r="A14" s="189" t="s">
        <v>1915</v>
      </c>
      <c r="B14" s="1190">
        <v>1</v>
      </c>
      <c r="C14" s="1190">
        <v>2</v>
      </c>
      <c r="D14" s="1190">
        <v>1</v>
      </c>
      <c r="E14" s="1190">
        <v>2</v>
      </c>
      <c r="F14" s="1190">
        <v>1</v>
      </c>
      <c r="G14" s="1190">
        <v>2</v>
      </c>
      <c r="H14" s="1188">
        <v>1</v>
      </c>
      <c r="I14" s="1188">
        <v>2</v>
      </c>
      <c r="J14" s="1188">
        <v>1</v>
      </c>
      <c r="K14" s="1188">
        <v>2</v>
      </c>
      <c r="L14" s="1188" t="s">
        <v>1307</v>
      </c>
    </row>
    <row r="15" spans="1:12">
      <c r="A15" s="181" t="s">
        <v>703</v>
      </c>
      <c r="B15" s="584">
        <v>5</v>
      </c>
      <c r="C15" s="584">
        <v>3</v>
      </c>
      <c r="D15" s="584">
        <v>0</v>
      </c>
      <c r="E15" s="584">
        <v>0</v>
      </c>
      <c r="F15" s="584">
        <v>0</v>
      </c>
      <c r="G15" s="584">
        <v>0</v>
      </c>
      <c r="H15" s="584">
        <v>0</v>
      </c>
      <c r="I15" s="584">
        <v>0</v>
      </c>
      <c r="J15" s="471">
        <f t="shared" ref="J15:K19" si="0">B15+D15+F15+H15</f>
        <v>5</v>
      </c>
      <c r="K15" s="471">
        <f t="shared" si="0"/>
        <v>3</v>
      </c>
      <c r="L15" s="1188" t="s">
        <v>1925</v>
      </c>
    </row>
    <row r="16" spans="1:12">
      <c r="A16" s="181" t="s">
        <v>704</v>
      </c>
      <c r="B16" s="584">
        <v>13</v>
      </c>
      <c r="C16" s="584">
        <v>25</v>
      </c>
      <c r="D16" s="584">
        <v>0</v>
      </c>
      <c r="E16" s="584">
        <v>0</v>
      </c>
      <c r="F16" s="584">
        <v>0</v>
      </c>
      <c r="G16" s="584">
        <v>0</v>
      </c>
      <c r="H16" s="584">
        <v>0</v>
      </c>
      <c r="I16" s="584">
        <v>0</v>
      </c>
      <c r="J16" s="471">
        <f t="shared" si="0"/>
        <v>13</v>
      </c>
      <c r="K16" s="471">
        <f t="shared" si="0"/>
        <v>25</v>
      </c>
      <c r="L16" s="1188" t="s">
        <v>1935</v>
      </c>
    </row>
    <row r="17" spans="1:12">
      <c r="A17" s="182" t="s">
        <v>1382</v>
      </c>
      <c r="B17" s="584"/>
      <c r="C17" s="584"/>
      <c r="D17" s="584"/>
      <c r="E17" s="584"/>
      <c r="F17" s="584"/>
      <c r="G17" s="584"/>
      <c r="H17" s="584"/>
      <c r="I17" s="584"/>
      <c r="J17" s="471">
        <f t="shared" si="0"/>
        <v>0</v>
      </c>
      <c r="K17" s="471">
        <f t="shared" si="0"/>
        <v>0</v>
      </c>
      <c r="L17" s="1188" t="s">
        <v>1939</v>
      </c>
    </row>
    <row r="18" spans="1:12">
      <c r="A18" s="181" t="s">
        <v>1383</v>
      </c>
      <c r="B18" s="584">
        <v>4</v>
      </c>
      <c r="C18" s="584">
        <v>9</v>
      </c>
      <c r="D18" s="584">
        <v>0</v>
      </c>
      <c r="E18" s="584">
        <v>0</v>
      </c>
      <c r="F18" s="584">
        <v>0</v>
      </c>
      <c r="G18" s="584">
        <v>0</v>
      </c>
      <c r="H18" s="584">
        <v>0</v>
      </c>
      <c r="I18" s="584">
        <v>0</v>
      </c>
      <c r="J18" s="471">
        <f t="shared" si="0"/>
        <v>4</v>
      </c>
      <c r="K18" s="471">
        <f t="shared" si="0"/>
        <v>9</v>
      </c>
      <c r="L18" s="1188" t="s">
        <v>1000</v>
      </c>
    </row>
    <row r="19" spans="1:12">
      <c r="A19" s="181" t="s">
        <v>1384</v>
      </c>
      <c r="B19" s="584">
        <v>54</v>
      </c>
      <c r="C19" s="584">
        <v>52</v>
      </c>
      <c r="D19" s="584">
        <v>0</v>
      </c>
      <c r="E19" s="584">
        <v>1</v>
      </c>
      <c r="F19" s="584">
        <v>0</v>
      </c>
      <c r="G19" s="584">
        <v>0</v>
      </c>
      <c r="H19" s="584">
        <v>0</v>
      </c>
      <c r="I19" s="584">
        <v>0</v>
      </c>
      <c r="J19" s="471">
        <f t="shared" si="0"/>
        <v>54</v>
      </c>
      <c r="K19" s="471">
        <f t="shared" si="0"/>
        <v>53</v>
      </c>
      <c r="L19" s="1188" t="s">
        <v>1851</v>
      </c>
    </row>
    <row r="20" spans="1:12">
      <c r="A20" s="464" t="s">
        <v>1915</v>
      </c>
      <c r="B20" s="471">
        <f t="shared" ref="B20:K20" si="1">SUM(B15:B19)</f>
        <v>76</v>
      </c>
      <c r="C20" s="471">
        <f t="shared" si="1"/>
        <v>89</v>
      </c>
      <c r="D20" s="471">
        <f t="shared" si="1"/>
        <v>0</v>
      </c>
      <c r="E20" s="471">
        <f t="shared" si="1"/>
        <v>1</v>
      </c>
      <c r="F20" s="471">
        <f t="shared" si="1"/>
        <v>0</v>
      </c>
      <c r="G20" s="471">
        <f t="shared" si="1"/>
        <v>0</v>
      </c>
      <c r="H20" s="471">
        <f t="shared" si="1"/>
        <v>0</v>
      </c>
      <c r="I20" s="471">
        <f t="shared" si="1"/>
        <v>0</v>
      </c>
      <c r="J20" s="471">
        <f t="shared" si="1"/>
        <v>76</v>
      </c>
      <c r="K20" s="471">
        <f t="shared" si="1"/>
        <v>90</v>
      </c>
      <c r="L20" s="1188" t="s">
        <v>1852</v>
      </c>
    </row>
    <row r="21" spans="1:12">
      <c r="A21" s="156" t="s">
        <v>673</v>
      </c>
      <c r="B21" s="66"/>
      <c r="C21" s="66"/>
      <c r="D21" s="66"/>
      <c r="E21" s="66"/>
      <c r="F21" s="66"/>
      <c r="G21" s="66"/>
      <c r="H21" s="66"/>
      <c r="I21" s="66"/>
      <c r="J21" s="66"/>
      <c r="K21" s="55"/>
      <c r="L21" s="423"/>
    </row>
    <row r="22" spans="1:12">
      <c r="A22" s="182" t="s">
        <v>1323</v>
      </c>
      <c r="B22" s="584">
        <v>3</v>
      </c>
      <c r="C22" s="584">
        <v>1</v>
      </c>
      <c r="D22" s="584">
        <v>0</v>
      </c>
      <c r="E22" s="584">
        <v>0</v>
      </c>
      <c r="F22" s="584">
        <v>0</v>
      </c>
      <c r="G22" s="584">
        <v>0</v>
      </c>
      <c r="H22" s="584">
        <v>0</v>
      </c>
      <c r="I22" s="584">
        <v>0</v>
      </c>
      <c r="J22" s="471">
        <f>B22+D22+F22+H22</f>
        <v>3</v>
      </c>
      <c r="K22" s="471">
        <f>C22+E22+G22+I22</f>
        <v>1</v>
      </c>
      <c r="L22" s="1188" t="s">
        <v>1248</v>
      </c>
    </row>
    <row r="23" spans="1:12">
      <c r="A23" s="182" t="s">
        <v>705</v>
      </c>
      <c r="B23" s="584">
        <v>4</v>
      </c>
      <c r="C23" s="584">
        <v>3</v>
      </c>
      <c r="D23" s="584">
        <v>0</v>
      </c>
      <c r="E23" s="584">
        <v>0</v>
      </c>
      <c r="F23" s="584">
        <v>0</v>
      </c>
      <c r="G23" s="584">
        <v>0</v>
      </c>
      <c r="H23" s="584">
        <v>0</v>
      </c>
      <c r="I23" s="584">
        <v>0</v>
      </c>
      <c r="J23" s="471">
        <f t="shared" ref="J23:K27" si="2">B23+D23+F23+H23</f>
        <v>4</v>
      </c>
      <c r="K23" s="471">
        <f t="shared" si="2"/>
        <v>3</v>
      </c>
      <c r="L23" s="1188" t="s">
        <v>1775</v>
      </c>
    </row>
    <row r="24" spans="1:12">
      <c r="A24" s="182" t="s">
        <v>1966</v>
      </c>
      <c r="B24" s="584">
        <v>12</v>
      </c>
      <c r="C24" s="584">
        <v>3</v>
      </c>
      <c r="D24" s="584">
        <v>0</v>
      </c>
      <c r="E24" s="584">
        <v>0</v>
      </c>
      <c r="F24" s="584">
        <v>0</v>
      </c>
      <c r="G24" s="584">
        <v>1</v>
      </c>
      <c r="H24" s="584">
        <v>0</v>
      </c>
      <c r="I24" s="584">
        <v>0</v>
      </c>
      <c r="J24" s="471">
        <f t="shared" si="2"/>
        <v>12</v>
      </c>
      <c r="K24" s="471">
        <f t="shared" si="2"/>
        <v>4</v>
      </c>
      <c r="L24" s="1188" t="s">
        <v>2200</v>
      </c>
    </row>
    <row r="25" spans="1:12">
      <c r="A25" s="182" t="s">
        <v>1385</v>
      </c>
      <c r="B25" s="584">
        <v>3</v>
      </c>
      <c r="C25" s="584">
        <v>0</v>
      </c>
      <c r="D25" s="584">
        <v>0</v>
      </c>
      <c r="E25" s="584">
        <v>0</v>
      </c>
      <c r="F25" s="584">
        <v>0</v>
      </c>
      <c r="G25" s="584">
        <v>0</v>
      </c>
      <c r="H25" s="584">
        <v>0</v>
      </c>
      <c r="I25" s="584">
        <v>0</v>
      </c>
      <c r="J25" s="471">
        <f t="shared" si="2"/>
        <v>3</v>
      </c>
      <c r="K25" s="471">
        <f t="shared" si="2"/>
        <v>0</v>
      </c>
      <c r="L25" s="1188" t="s">
        <v>2208</v>
      </c>
    </row>
    <row r="26" spans="1:12">
      <c r="A26" s="182" t="s">
        <v>1166</v>
      </c>
      <c r="B26" s="584">
        <v>43</v>
      </c>
      <c r="C26" s="584">
        <v>38</v>
      </c>
      <c r="D26" s="584">
        <v>0</v>
      </c>
      <c r="E26" s="584">
        <v>0</v>
      </c>
      <c r="F26" s="584">
        <v>0</v>
      </c>
      <c r="G26" s="584">
        <v>0</v>
      </c>
      <c r="H26" s="584">
        <v>0</v>
      </c>
      <c r="I26" s="584">
        <v>2</v>
      </c>
      <c r="J26" s="471">
        <f t="shared" si="2"/>
        <v>43</v>
      </c>
      <c r="K26" s="471">
        <f t="shared" si="2"/>
        <v>40</v>
      </c>
      <c r="L26" s="1188" t="s">
        <v>1242</v>
      </c>
    </row>
    <row r="27" spans="1:12">
      <c r="A27" s="182" t="s">
        <v>1310</v>
      </c>
      <c r="B27" s="584"/>
      <c r="C27" s="584"/>
      <c r="D27" s="584"/>
      <c r="E27" s="584"/>
      <c r="F27" s="584"/>
      <c r="G27" s="584"/>
      <c r="H27" s="584"/>
      <c r="I27" s="584"/>
      <c r="J27" s="471">
        <f t="shared" si="2"/>
        <v>0</v>
      </c>
      <c r="K27" s="471">
        <f t="shared" si="2"/>
        <v>0</v>
      </c>
      <c r="L27" s="1188" t="s">
        <v>1779</v>
      </c>
    </row>
    <row r="28" spans="1:12">
      <c r="A28" s="464" t="s">
        <v>673</v>
      </c>
      <c r="B28" s="471">
        <f>SUM(B22:B27)</f>
        <v>65</v>
      </c>
      <c r="C28" s="471">
        <f t="shared" ref="C28:K28" si="3">SUM(C22:C27)</f>
        <v>45</v>
      </c>
      <c r="D28" s="471">
        <f t="shared" si="3"/>
        <v>0</v>
      </c>
      <c r="E28" s="471">
        <f t="shared" si="3"/>
        <v>0</v>
      </c>
      <c r="F28" s="471">
        <f t="shared" si="3"/>
        <v>0</v>
      </c>
      <c r="G28" s="471">
        <f t="shared" si="3"/>
        <v>1</v>
      </c>
      <c r="H28" s="471">
        <f t="shared" si="3"/>
        <v>0</v>
      </c>
      <c r="I28" s="471">
        <f t="shared" si="3"/>
        <v>2</v>
      </c>
      <c r="J28" s="471">
        <f t="shared" si="3"/>
        <v>65</v>
      </c>
      <c r="K28" s="471">
        <f t="shared" si="3"/>
        <v>48</v>
      </c>
      <c r="L28" s="1188" t="s">
        <v>1249</v>
      </c>
    </row>
    <row r="29" spans="1:12">
      <c r="A29" s="183" t="s">
        <v>1250</v>
      </c>
      <c r="B29" s="66"/>
      <c r="C29" s="66"/>
      <c r="D29" s="66"/>
      <c r="E29" s="66"/>
      <c r="F29" s="66"/>
      <c r="G29" s="66"/>
      <c r="H29" s="66"/>
      <c r="I29" s="66"/>
      <c r="J29" s="66"/>
      <c r="K29" s="55"/>
      <c r="L29" s="423"/>
    </row>
    <row r="30" spans="1:12">
      <c r="A30" s="181" t="s">
        <v>1311</v>
      </c>
      <c r="B30" s="684"/>
      <c r="C30" s="684"/>
      <c r="D30" s="684"/>
      <c r="E30" s="684"/>
      <c r="F30" s="684"/>
      <c r="G30" s="684"/>
      <c r="H30" s="684"/>
      <c r="I30" s="684"/>
      <c r="J30" s="685">
        <f t="shared" ref="J30:J38" si="4">B30+D30+F30+H30</f>
        <v>0</v>
      </c>
      <c r="K30" s="685">
        <f t="shared" ref="K30:K38" si="5">C30+E30+G30+I30</f>
        <v>0</v>
      </c>
      <c r="L30" s="1188" t="s">
        <v>1258</v>
      </c>
    </row>
    <row r="31" spans="1:12">
      <c r="A31" s="182" t="s">
        <v>1312</v>
      </c>
      <c r="B31" s="584"/>
      <c r="C31" s="584"/>
      <c r="D31" s="584"/>
      <c r="E31" s="584"/>
      <c r="F31" s="584"/>
      <c r="G31" s="584"/>
      <c r="H31" s="584"/>
      <c r="I31" s="584"/>
      <c r="J31" s="471">
        <f t="shared" si="4"/>
        <v>0</v>
      </c>
      <c r="K31" s="471">
        <f t="shared" si="5"/>
        <v>0</v>
      </c>
      <c r="L31" s="1188" t="s">
        <v>1263</v>
      </c>
    </row>
    <row r="32" spans="1:12">
      <c r="A32" s="182" t="s">
        <v>1313</v>
      </c>
      <c r="B32" s="584">
        <v>0</v>
      </c>
      <c r="C32" s="584">
        <v>1</v>
      </c>
      <c r="D32" s="584">
        <v>0</v>
      </c>
      <c r="E32" s="584">
        <v>0</v>
      </c>
      <c r="F32" s="584">
        <v>0</v>
      </c>
      <c r="G32" s="584">
        <v>0</v>
      </c>
      <c r="H32" s="584">
        <v>0</v>
      </c>
      <c r="I32" s="584">
        <v>0</v>
      </c>
      <c r="J32" s="471">
        <f t="shared" si="4"/>
        <v>0</v>
      </c>
      <c r="K32" s="471">
        <f t="shared" si="5"/>
        <v>1</v>
      </c>
      <c r="L32" s="1188" t="s">
        <v>965</v>
      </c>
    </row>
    <row r="33" spans="1:12">
      <c r="A33" s="182" t="s">
        <v>1314</v>
      </c>
      <c r="B33" s="584"/>
      <c r="C33" s="584"/>
      <c r="D33" s="584"/>
      <c r="E33" s="584"/>
      <c r="F33" s="584"/>
      <c r="G33" s="584"/>
      <c r="H33" s="584"/>
      <c r="I33" s="584"/>
      <c r="J33" s="471">
        <f t="shared" si="4"/>
        <v>0</v>
      </c>
      <c r="K33" s="471">
        <f t="shared" si="5"/>
        <v>0</v>
      </c>
      <c r="L33" s="1188" t="s">
        <v>971</v>
      </c>
    </row>
    <row r="34" spans="1:12">
      <c r="A34" s="182" t="s">
        <v>751</v>
      </c>
      <c r="B34" s="584"/>
      <c r="C34" s="584"/>
      <c r="D34" s="584"/>
      <c r="E34" s="584"/>
      <c r="F34" s="584"/>
      <c r="G34" s="584"/>
      <c r="H34" s="584"/>
      <c r="I34" s="584"/>
      <c r="J34" s="471">
        <f t="shared" si="4"/>
        <v>0</v>
      </c>
      <c r="K34" s="471">
        <f t="shared" si="5"/>
        <v>0</v>
      </c>
      <c r="L34" s="1188" t="s">
        <v>1495</v>
      </c>
    </row>
    <row r="35" spans="1:12">
      <c r="A35" s="182" t="s">
        <v>752</v>
      </c>
      <c r="B35" s="584">
        <v>8</v>
      </c>
      <c r="C35" s="584">
        <v>5</v>
      </c>
      <c r="D35" s="584">
        <v>0</v>
      </c>
      <c r="E35" s="584">
        <v>0</v>
      </c>
      <c r="F35" s="584">
        <v>0</v>
      </c>
      <c r="G35" s="584">
        <v>0</v>
      </c>
      <c r="H35" s="584">
        <v>0</v>
      </c>
      <c r="I35" s="584">
        <v>0</v>
      </c>
      <c r="J35" s="471">
        <f t="shared" si="4"/>
        <v>8</v>
      </c>
      <c r="K35" s="471">
        <f t="shared" si="5"/>
        <v>5</v>
      </c>
      <c r="L35" s="1188" t="s">
        <v>425</v>
      </c>
    </row>
    <row r="36" spans="1:12">
      <c r="A36" s="182" t="s">
        <v>1025</v>
      </c>
      <c r="B36" s="584">
        <v>1</v>
      </c>
      <c r="C36" s="584">
        <v>0</v>
      </c>
      <c r="D36" s="584">
        <v>0</v>
      </c>
      <c r="E36" s="584">
        <v>0</v>
      </c>
      <c r="F36" s="584">
        <v>0</v>
      </c>
      <c r="G36" s="584">
        <v>0</v>
      </c>
      <c r="H36" s="584">
        <v>0</v>
      </c>
      <c r="I36" s="584">
        <v>0</v>
      </c>
      <c r="J36" s="471">
        <f t="shared" si="4"/>
        <v>1</v>
      </c>
      <c r="K36" s="471">
        <f t="shared" si="5"/>
        <v>0</v>
      </c>
      <c r="L36" s="1188" t="s">
        <v>71</v>
      </c>
    </row>
    <row r="37" spans="1:12">
      <c r="A37" s="182" t="s">
        <v>1026</v>
      </c>
      <c r="B37" s="584">
        <v>7</v>
      </c>
      <c r="C37" s="584">
        <v>9</v>
      </c>
      <c r="D37" s="584">
        <v>0</v>
      </c>
      <c r="E37" s="584">
        <v>0</v>
      </c>
      <c r="F37" s="584">
        <v>0</v>
      </c>
      <c r="G37" s="584">
        <v>0</v>
      </c>
      <c r="H37" s="584">
        <v>0</v>
      </c>
      <c r="I37" s="584">
        <v>0</v>
      </c>
      <c r="J37" s="471">
        <f t="shared" si="4"/>
        <v>7</v>
      </c>
      <c r="K37" s="471">
        <f t="shared" si="5"/>
        <v>9</v>
      </c>
      <c r="L37" s="1188" t="s">
        <v>366</v>
      </c>
    </row>
    <row r="38" spans="1:12">
      <c r="A38" s="182" t="s">
        <v>1027</v>
      </c>
      <c r="B38" s="584">
        <v>1</v>
      </c>
      <c r="C38" s="584">
        <v>1</v>
      </c>
      <c r="D38" s="584">
        <v>0</v>
      </c>
      <c r="E38" s="584">
        <v>0</v>
      </c>
      <c r="F38" s="584">
        <v>0</v>
      </c>
      <c r="G38" s="584">
        <v>0</v>
      </c>
      <c r="H38" s="584">
        <v>0</v>
      </c>
      <c r="I38" s="584">
        <v>0</v>
      </c>
      <c r="J38" s="471">
        <f t="shared" si="4"/>
        <v>1</v>
      </c>
      <c r="K38" s="471">
        <f t="shared" si="5"/>
        <v>1</v>
      </c>
      <c r="L38" s="1188" t="s">
        <v>374</v>
      </c>
    </row>
    <row r="39" spans="1:12">
      <c r="A39" s="464" t="s">
        <v>1250</v>
      </c>
      <c r="B39" s="471">
        <f t="shared" ref="B39:K39" si="6">SUM(B30:B38)</f>
        <v>17</v>
      </c>
      <c r="C39" s="471">
        <f t="shared" si="6"/>
        <v>16</v>
      </c>
      <c r="D39" s="471">
        <f t="shared" si="6"/>
        <v>0</v>
      </c>
      <c r="E39" s="471">
        <f t="shared" si="6"/>
        <v>0</v>
      </c>
      <c r="F39" s="471">
        <f t="shared" si="6"/>
        <v>0</v>
      </c>
      <c r="G39" s="471">
        <f t="shared" si="6"/>
        <v>0</v>
      </c>
      <c r="H39" s="471">
        <f t="shared" si="6"/>
        <v>0</v>
      </c>
      <c r="I39" s="471">
        <f t="shared" si="6"/>
        <v>0</v>
      </c>
      <c r="J39" s="471">
        <f t="shared" si="6"/>
        <v>17</v>
      </c>
      <c r="K39" s="471">
        <f t="shared" si="6"/>
        <v>16</v>
      </c>
      <c r="L39" s="1188" t="s">
        <v>375</v>
      </c>
    </row>
    <row r="40" spans="1:12">
      <c r="A40" s="183" t="s">
        <v>376</v>
      </c>
      <c r="B40" s="66"/>
      <c r="C40" s="66"/>
      <c r="D40" s="66"/>
      <c r="E40" s="66"/>
      <c r="F40" s="66"/>
      <c r="G40" s="66"/>
      <c r="H40" s="66"/>
      <c r="I40" s="66"/>
      <c r="J40" s="66"/>
      <c r="K40" s="55"/>
      <c r="L40" s="423"/>
    </row>
    <row r="41" spans="1:12">
      <c r="A41" s="184" t="s">
        <v>1109</v>
      </c>
      <c r="B41" s="584"/>
      <c r="C41" s="584"/>
      <c r="D41" s="584"/>
      <c r="E41" s="584"/>
      <c r="F41" s="584"/>
      <c r="G41" s="584"/>
      <c r="H41" s="584"/>
      <c r="I41" s="584"/>
      <c r="J41" s="471">
        <f t="shared" ref="J41:K43" si="7">B41+D41+F41+H41</f>
        <v>0</v>
      </c>
      <c r="K41" s="471">
        <f t="shared" si="7"/>
        <v>0</v>
      </c>
      <c r="L41" s="1188" t="s">
        <v>383</v>
      </c>
    </row>
    <row r="42" spans="1:12">
      <c r="A42" s="184" t="s">
        <v>1110</v>
      </c>
      <c r="B42" s="584">
        <v>11</v>
      </c>
      <c r="C42" s="584">
        <v>9</v>
      </c>
      <c r="D42" s="584">
        <v>0</v>
      </c>
      <c r="E42" s="584">
        <v>0</v>
      </c>
      <c r="F42" s="584">
        <v>0</v>
      </c>
      <c r="G42" s="584">
        <v>0</v>
      </c>
      <c r="H42" s="584">
        <v>0</v>
      </c>
      <c r="I42" s="584">
        <v>0</v>
      </c>
      <c r="J42" s="471">
        <f t="shared" si="7"/>
        <v>11</v>
      </c>
      <c r="K42" s="471">
        <f t="shared" si="7"/>
        <v>9</v>
      </c>
      <c r="L42" s="1188" t="s">
        <v>1185</v>
      </c>
    </row>
    <row r="43" spans="1:12">
      <c r="A43" s="184" t="s">
        <v>1111</v>
      </c>
      <c r="B43" s="584">
        <v>0</v>
      </c>
      <c r="C43" s="584">
        <v>1</v>
      </c>
      <c r="D43" s="584">
        <v>0</v>
      </c>
      <c r="E43" s="584">
        <v>0</v>
      </c>
      <c r="F43" s="584">
        <v>0</v>
      </c>
      <c r="G43" s="584">
        <v>0</v>
      </c>
      <c r="H43" s="584">
        <v>0</v>
      </c>
      <c r="I43" s="584">
        <v>0</v>
      </c>
      <c r="J43" s="471">
        <f t="shared" si="7"/>
        <v>0</v>
      </c>
      <c r="K43" s="471">
        <f t="shared" si="7"/>
        <v>1</v>
      </c>
      <c r="L43" s="1188" t="s">
        <v>1193</v>
      </c>
    </row>
    <row r="44" spans="1:12">
      <c r="A44" s="464" t="s">
        <v>376</v>
      </c>
      <c r="B44" s="471">
        <f t="shared" ref="B44:K44" si="8">SUM(B41:B43)</f>
        <v>11</v>
      </c>
      <c r="C44" s="471">
        <f t="shared" si="8"/>
        <v>10</v>
      </c>
      <c r="D44" s="471">
        <f t="shared" si="8"/>
        <v>0</v>
      </c>
      <c r="E44" s="471">
        <f t="shared" si="8"/>
        <v>0</v>
      </c>
      <c r="F44" s="471">
        <f t="shared" si="8"/>
        <v>0</v>
      </c>
      <c r="G44" s="471">
        <f t="shared" si="8"/>
        <v>0</v>
      </c>
      <c r="H44" s="471">
        <f t="shared" si="8"/>
        <v>0</v>
      </c>
      <c r="I44" s="471">
        <f t="shared" si="8"/>
        <v>0</v>
      </c>
      <c r="J44" s="471">
        <f t="shared" si="8"/>
        <v>11</v>
      </c>
      <c r="K44" s="471">
        <f t="shared" si="8"/>
        <v>10</v>
      </c>
      <c r="L44" s="1188" t="s">
        <v>1194</v>
      </c>
    </row>
    <row r="45" spans="1:12">
      <c r="A45" s="157" t="s">
        <v>1195</v>
      </c>
      <c r="B45" s="66"/>
      <c r="C45" s="66"/>
      <c r="D45" s="66"/>
      <c r="E45" s="66"/>
      <c r="F45" s="66"/>
      <c r="G45" s="66"/>
      <c r="H45" s="66"/>
      <c r="I45" s="66"/>
      <c r="J45" s="66"/>
      <c r="K45" s="55"/>
      <c r="L45" s="423"/>
    </row>
    <row r="46" spans="1:12">
      <c r="A46" s="184" t="s">
        <v>1112</v>
      </c>
      <c r="B46" s="584"/>
      <c r="C46" s="584"/>
      <c r="D46" s="584"/>
      <c r="E46" s="584"/>
      <c r="F46" s="584"/>
      <c r="G46" s="584"/>
      <c r="H46" s="584"/>
      <c r="I46" s="584"/>
      <c r="J46" s="471">
        <f t="shared" ref="J46:J51" si="9">B46+D46+F46+H46</f>
        <v>0</v>
      </c>
      <c r="K46" s="471">
        <f t="shared" ref="K46:K51" si="10">C46+E46+G46+I46</f>
        <v>0</v>
      </c>
      <c r="L46" s="1188" t="s">
        <v>1203</v>
      </c>
    </row>
    <row r="47" spans="1:12">
      <c r="A47" s="184" t="s">
        <v>1113</v>
      </c>
      <c r="B47" s="584"/>
      <c r="C47" s="584"/>
      <c r="D47" s="584"/>
      <c r="E47" s="584"/>
      <c r="F47" s="584"/>
      <c r="G47" s="584"/>
      <c r="H47" s="584"/>
      <c r="I47" s="584"/>
      <c r="J47" s="471">
        <f t="shared" si="9"/>
        <v>0</v>
      </c>
      <c r="K47" s="471">
        <f t="shared" si="10"/>
        <v>0</v>
      </c>
      <c r="L47" s="1188" t="s">
        <v>1395</v>
      </c>
    </row>
    <row r="48" spans="1:12">
      <c r="A48" s="184" t="s">
        <v>1114</v>
      </c>
      <c r="B48" s="584">
        <v>0</v>
      </c>
      <c r="C48" s="584">
        <v>15</v>
      </c>
      <c r="D48" s="584">
        <v>0</v>
      </c>
      <c r="E48" s="584">
        <v>0</v>
      </c>
      <c r="F48" s="584">
        <v>0</v>
      </c>
      <c r="G48" s="584">
        <v>0</v>
      </c>
      <c r="H48" s="584">
        <v>0</v>
      </c>
      <c r="I48" s="584">
        <v>0</v>
      </c>
      <c r="J48" s="471">
        <f t="shared" si="9"/>
        <v>0</v>
      </c>
      <c r="K48" s="471">
        <f t="shared" si="10"/>
        <v>15</v>
      </c>
      <c r="L48" s="1188" t="s">
        <v>1396</v>
      </c>
    </row>
    <row r="49" spans="1:12">
      <c r="A49" s="184" t="s">
        <v>1945</v>
      </c>
      <c r="B49" s="584"/>
      <c r="C49" s="584"/>
      <c r="D49" s="584"/>
      <c r="E49" s="584"/>
      <c r="F49" s="584"/>
      <c r="G49" s="584"/>
      <c r="H49" s="584"/>
      <c r="I49" s="584"/>
      <c r="J49" s="471">
        <f t="shared" si="9"/>
        <v>0</v>
      </c>
      <c r="K49" s="471">
        <f t="shared" si="10"/>
        <v>0</v>
      </c>
      <c r="L49" s="1188" t="s">
        <v>1344</v>
      </c>
    </row>
    <row r="50" spans="1:12">
      <c r="A50" s="185" t="s">
        <v>1946</v>
      </c>
      <c r="B50" s="584">
        <v>0</v>
      </c>
      <c r="C50" s="584">
        <v>106</v>
      </c>
      <c r="D50" s="584">
        <v>0</v>
      </c>
      <c r="E50" s="584">
        <v>2</v>
      </c>
      <c r="F50" s="584">
        <v>0</v>
      </c>
      <c r="G50" s="584">
        <v>15</v>
      </c>
      <c r="H50" s="584">
        <v>0</v>
      </c>
      <c r="I50" s="584">
        <v>30</v>
      </c>
      <c r="J50" s="471">
        <f t="shared" si="9"/>
        <v>0</v>
      </c>
      <c r="K50" s="471">
        <f t="shared" si="10"/>
        <v>153</v>
      </c>
      <c r="L50" s="1188" t="s">
        <v>1350</v>
      </c>
    </row>
    <row r="51" spans="1:12">
      <c r="A51" s="184" t="s">
        <v>1947</v>
      </c>
      <c r="B51" s="584"/>
      <c r="C51" s="584"/>
      <c r="D51" s="584"/>
      <c r="E51" s="584"/>
      <c r="F51" s="584"/>
      <c r="G51" s="584"/>
      <c r="H51" s="584"/>
      <c r="I51" s="584"/>
      <c r="J51" s="471">
        <f t="shared" si="9"/>
        <v>0</v>
      </c>
      <c r="K51" s="471">
        <f t="shared" si="10"/>
        <v>0</v>
      </c>
      <c r="L51" s="1188" t="s">
        <v>1572</v>
      </c>
    </row>
    <row r="52" spans="1:12">
      <c r="A52" s="464" t="s">
        <v>1195</v>
      </c>
      <c r="B52" s="471">
        <f t="shared" ref="B52:K52" si="11">SUM(B46:B51)</f>
        <v>0</v>
      </c>
      <c r="C52" s="471">
        <f t="shared" si="11"/>
        <v>121</v>
      </c>
      <c r="D52" s="471">
        <f t="shared" si="11"/>
        <v>0</v>
      </c>
      <c r="E52" s="471">
        <f t="shared" si="11"/>
        <v>2</v>
      </c>
      <c r="F52" s="471">
        <f t="shared" si="11"/>
        <v>0</v>
      </c>
      <c r="G52" s="471">
        <f t="shared" si="11"/>
        <v>15</v>
      </c>
      <c r="H52" s="471">
        <f t="shared" si="11"/>
        <v>0</v>
      </c>
      <c r="I52" s="471">
        <f t="shared" si="11"/>
        <v>30</v>
      </c>
      <c r="J52" s="471">
        <f t="shared" si="11"/>
        <v>0</v>
      </c>
      <c r="K52" s="471">
        <f t="shared" si="11"/>
        <v>168</v>
      </c>
      <c r="L52" s="1188" t="s">
        <v>1573</v>
      </c>
    </row>
    <row r="53" spans="1:12">
      <c r="A53" s="158" t="s">
        <v>1574</v>
      </c>
      <c r="B53" s="55"/>
      <c r="C53" s="55"/>
      <c r="D53" s="55"/>
      <c r="E53" s="55"/>
      <c r="F53" s="55"/>
      <c r="G53" s="55"/>
      <c r="H53" s="55"/>
      <c r="I53" s="55"/>
      <c r="J53" s="55"/>
      <c r="K53" s="55"/>
      <c r="L53" s="423"/>
    </row>
    <row r="54" spans="1:12">
      <c r="A54" s="184" t="s">
        <v>1948</v>
      </c>
      <c r="B54" s="584">
        <v>0</v>
      </c>
      <c r="C54" s="584">
        <v>1</v>
      </c>
      <c r="D54" s="584">
        <v>0</v>
      </c>
      <c r="E54" s="584">
        <v>0</v>
      </c>
      <c r="F54" s="584">
        <v>0</v>
      </c>
      <c r="G54" s="584">
        <v>0</v>
      </c>
      <c r="H54" s="584">
        <v>0</v>
      </c>
      <c r="I54" s="584">
        <v>0</v>
      </c>
      <c r="J54" s="471">
        <f t="shared" ref="J54:J68" si="12">B54+D54+F54+H54</f>
        <v>0</v>
      </c>
      <c r="K54" s="471">
        <f t="shared" ref="K54:K68" si="13">C54+E54+G54+I54</f>
        <v>1</v>
      </c>
      <c r="L54" s="1188" t="s">
        <v>1583</v>
      </c>
    </row>
    <row r="55" spans="1:12">
      <c r="A55" s="184" t="s">
        <v>1949</v>
      </c>
      <c r="B55" s="584"/>
      <c r="C55" s="584"/>
      <c r="D55" s="584"/>
      <c r="E55" s="584"/>
      <c r="F55" s="584"/>
      <c r="G55" s="584"/>
      <c r="H55" s="584"/>
      <c r="I55" s="584"/>
      <c r="J55" s="471">
        <f t="shared" si="12"/>
        <v>0</v>
      </c>
      <c r="K55" s="471">
        <f t="shared" si="13"/>
        <v>0</v>
      </c>
      <c r="L55" s="1188" t="s">
        <v>1589</v>
      </c>
    </row>
    <row r="56" spans="1:12">
      <c r="A56" s="184" t="s">
        <v>1950</v>
      </c>
      <c r="B56" s="584"/>
      <c r="C56" s="584"/>
      <c r="D56" s="584"/>
      <c r="E56" s="584"/>
      <c r="F56" s="584"/>
      <c r="G56" s="584"/>
      <c r="H56" s="584"/>
      <c r="I56" s="584"/>
      <c r="J56" s="471">
        <f t="shared" si="12"/>
        <v>0</v>
      </c>
      <c r="K56" s="471">
        <f t="shared" si="13"/>
        <v>0</v>
      </c>
      <c r="L56" s="1188" t="s">
        <v>1594</v>
      </c>
    </row>
    <row r="57" spans="1:12">
      <c r="A57" s="184" t="s">
        <v>2232</v>
      </c>
      <c r="B57" s="584"/>
      <c r="C57" s="584"/>
      <c r="D57" s="584"/>
      <c r="E57" s="584"/>
      <c r="F57" s="584"/>
      <c r="G57" s="584"/>
      <c r="H57" s="584"/>
      <c r="I57" s="584"/>
      <c r="J57" s="471">
        <f t="shared" si="12"/>
        <v>0</v>
      </c>
      <c r="K57" s="471">
        <f t="shared" si="13"/>
        <v>0</v>
      </c>
      <c r="L57" s="1188" t="s">
        <v>1791</v>
      </c>
    </row>
    <row r="58" spans="1:12">
      <c r="A58" s="184" t="s">
        <v>141</v>
      </c>
      <c r="B58" s="584"/>
      <c r="C58" s="584"/>
      <c r="D58" s="584"/>
      <c r="E58" s="584"/>
      <c r="F58" s="584"/>
      <c r="G58" s="584"/>
      <c r="H58" s="584"/>
      <c r="I58" s="584"/>
      <c r="J58" s="471">
        <f t="shared" si="12"/>
        <v>0</v>
      </c>
      <c r="K58" s="471">
        <f t="shared" si="13"/>
        <v>0</v>
      </c>
      <c r="L58" s="1188" t="s">
        <v>1600</v>
      </c>
    </row>
    <row r="59" spans="1:12">
      <c r="A59" s="184" t="s">
        <v>1433</v>
      </c>
      <c r="B59" s="584">
        <v>2</v>
      </c>
      <c r="C59" s="584">
        <v>6</v>
      </c>
      <c r="D59" s="584">
        <v>0</v>
      </c>
      <c r="E59" s="584">
        <v>0</v>
      </c>
      <c r="F59" s="584">
        <v>0</v>
      </c>
      <c r="G59" s="584">
        <v>0</v>
      </c>
      <c r="H59" s="584">
        <v>0</v>
      </c>
      <c r="I59" s="584">
        <v>0</v>
      </c>
      <c r="J59" s="471">
        <f t="shared" si="12"/>
        <v>2</v>
      </c>
      <c r="K59" s="471">
        <f t="shared" si="13"/>
        <v>6</v>
      </c>
      <c r="L59" s="1188" t="s">
        <v>723</v>
      </c>
    </row>
    <row r="60" spans="1:12">
      <c r="A60" s="184" t="s">
        <v>1895</v>
      </c>
      <c r="B60" s="584"/>
      <c r="C60" s="584"/>
      <c r="D60" s="584"/>
      <c r="E60" s="584"/>
      <c r="F60" s="584"/>
      <c r="G60" s="584"/>
      <c r="H60" s="584"/>
      <c r="I60" s="584"/>
      <c r="J60" s="471">
        <f t="shared" si="12"/>
        <v>0</v>
      </c>
      <c r="K60" s="471">
        <f t="shared" si="13"/>
        <v>0</v>
      </c>
      <c r="L60" s="1188" t="s">
        <v>419</v>
      </c>
    </row>
    <row r="61" spans="1:12">
      <c r="A61" s="184" t="s">
        <v>1053</v>
      </c>
      <c r="B61" s="584"/>
      <c r="C61" s="584"/>
      <c r="D61" s="584"/>
      <c r="E61" s="584"/>
      <c r="F61" s="584"/>
      <c r="G61" s="584"/>
      <c r="H61" s="584"/>
      <c r="I61" s="584"/>
      <c r="J61" s="471">
        <f t="shared" si="12"/>
        <v>0</v>
      </c>
      <c r="K61" s="471">
        <f t="shared" si="13"/>
        <v>0</v>
      </c>
      <c r="L61" s="1188" t="s">
        <v>867</v>
      </c>
    </row>
    <row r="62" spans="1:12">
      <c r="A62" s="186" t="s">
        <v>1896</v>
      </c>
      <c r="B62" s="584"/>
      <c r="C62" s="584"/>
      <c r="D62" s="584"/>
      <c r="E62" s="584"/>
      <c r="F62" s="584"/>
      <c r="G62" s="584"/>
      <c r="H62" s="584"/>
      <c r="I62" s="584"/>
      <c r="J62" s="471">
        <f t="shared" si="12"/>
        <v>0</v>
      </c>
      <c r="K62" s="471">
        <f t="shared" si="13"/>
        <v>0</v>
      </c>
      <c r="L62" s="1188" t="s">
        <v>2113</v>
      </c>
    </row>
    <row r="63" spans="1:12">
      <c r="A63" s="184" t="s">
        <v>1897</v>
      </c>
      <c r="B63" s="584">
        <v>0</v>
      </c>
      <c r="C63" s="584">
        <v>71</v>
      </c>
      <c r="D63" s="584">
        <v>0</v>
      </c>
      <c r="E63" s="584">
        <v>0</v>
      </c>
      <c r="F63" s="584">
        <v>0</v>
      </c>
      <c r="G63" s="584">
        <v>11</v>
      </c>
      <c r="H63" s="584">
        <v>0</v>
      </c>
      <c r="I63" s="584">
        <v>2</v>
      </c>
      <c r="J63" s="471">
        <f t="shared" si="12"/>
        <v>0</v>
      </c>
      <c r="K63" s="471">
        <f t="shared" si="13"/>
        <v>84</v>
      </c>
      <c r="L63" s="1188" t="s">
        <v>2119</v>
      </c>
    </row>
    <row r="64" spans="1:12">
      <c r="A64" s="184" t="s">
        <v>1898</v>
      </c>
      <c r="B64" s="584"/>
      <c r="C64" s="584"/>
      <c r="D64" s="584"/>
      <c r="E64" s="584"/>
      <c r="F64" s="584"/>
      <c r="G64" s="584"/>
      <c r="H64" s="584"/>
      <c r="I64" s="584"/>
      <c r="J64" s="471">
        <f t="shared" si="12"/>
        <v>0</v>
      </c>
      <c r="K64" s="471">
        <f t="shared" si="13"/>
        <v>0</v>
      </c>
      <c r="L64" s="1188" t="s">
        <v>2125</v>
      </c>
    </row>
    <row r="65" spans="1:12">
      <c r="A65" s="464" t="s">
        <v>1574</v>
      </c>
      <c r="B65" s="471">
        <f t="shared" ref="B65:K65" si="14">SUM(B54:B64)</f>
        <v>2</v>
      </c>
      <c r="C65" s="471">
        <f t="shared" si="14"/>
        <v>78</v>
      </c>
      <c r="D65" s="471">
        <f t="shared" si="14"/>
        <v>0</v>
      </c>
      <c r="E65" s="471">
        <f t="shared" si="14"/>
        <v>0</v>
      </c>
      <c r="F65" s="471">
        <f t="shared" si="14"/>
        <v>0</v>
      </c>
      <c r="G65" s="471">
        <f t="shared" si="14"/>
        <v>11</v>
      </c>
      <c r="H65" s="471">
        <f t="shared" si="14"/>
        <v>0</v>
      </c>
      <c r="I65" s="471">
        <f t="shared" si="14"/>
        <v>2</v>
      </c>
      <c r="J65" s="471">
        <f t="shared" si="14"/>
        <v>2</v>
      </c>
      <c r="K65" s="471">
        <f t="shared" si="14"/>
        <v>91</v>
      </c>
      <c r="L65" s="1188" t="s">
        <v>2126</v>
      </c>
    </row>
    <row r="66" spans="1:12">
      <c r="A66" s="159" t="s">
        <v>2127</v>
      </c>
      <c r="B66" s="66"/>
      <c r="C66" s="66"/>
      <c r="D66" s="66"/>
      <c r="E66" s="66"/>
      <c r="F66" s="66"/>
      <c r="G66" s="66"/>
      <c r="H66" s="66"/>
      <c r="I66" s="66"/>
      <c r="J66" s="20"/>
      <c r="K66" s="20"/>
      <c r="L66" s="423"/>
    </row>
    <row r="67" spans="1:12">
      <c r="A67" s="378" t="s">
        <v>1899</v>
      </c>
      <c r="B67" s="684">
        <v>1</v>
      </c>
      <c r="C67" s="684">
        <v>0</v>
      </c>
      <c r="D67" s="684">
        <v>0</v>
      </c>
      <c r="E67" s="684">
        <v>0</v>
      </c>
      <c r="F67" s="684">
        <v>0</v>
      </c>
      <c r="G67" s="684">
        <v>0</v>
      </c>
      <c r="H67" s="684">
        <v>0</v>
      </c>
      <c r="I67" s="684">
        <v>0</v>
      </c>
      <c r="J67" s="685">
        <f t="shared" si="12"/>
        <v>1</v>
      </c>
      <c r="K67" s="685">
        <f t="shared" si="13"/>
        <v>0</v>
      </c>
      <c r="L67" s="1188" t="s">
        <v>1640</v>
      </c>
    </row>
    <row r="68" spans="1:12">
      <c r="A68" s="184" t="s">
        <v>1900</v>
      </c>
      <c r="B68" s="632"/>
      <c r="C68" s="632"/>
      <c r="D68" s="632"/>
      <c r="E68" s="632"/>
      <c r="F68" s="632"/>
      <c r="G68" s="632"/>
      <c r="H68" s="632"/>
      <c r="I68" s="632"/>
      <c r="J68" s="685">
        <f t="shared" si="12"/>
        <v>0</v>
      </c>
      <c r="K68" s="685">
        <f t="shared" si="13"/>
        <v>0</v>
      </c>
      <c r="L68" s="1188" t="s">
        <v>1648</v>
      </c>
    </row>
    <row r="69" spans="1:12">
      <c r="A69" s="464" t="s">
        <v>2127</v>
      </c>
      <c r="B69" s="471">
        <f t="shared" ref="B69:K69" si="15">SUM(B67:B68)</f>
        <v>1</v>
      </c>
      <c r="C69" s="471">
        <f t="shared" si="15"/>
        <v>0</v>
      </c>
      <c r="D69" s="471">
        <f t="shared" si="15"/>
        <v>0</v>
      </c>
      <c r="E69" s="471">
        <f t="shared" si="15"/>
        <v>0</v>
      </c>
      <c r="F69" s="471">
        <f t="shared" si="15"/>
        <v>0</v>
      </c>
      <c r="G69" s="471">
        <f t="shared" si="15"/>
        <v>0</v>
      </c>
      <c r="H69" s="471">
        <f t="shared" si="15"/>
        <v>0</v>
      </c>
      <c r="I69" s="471">
        <f t="shared" si="15"/>
        <v>0</v>
      </c>
      <c r="J69" s="471">
        <f t="shared" si="15"/>
        <v>1</v>
      </c>
      <c r="K69" s="471">
        <f t="shared" si="15"/>
        <v>0</v>
      </c>
      <c r="L69" s="1188" t="s">
        <v>1649</v>
      </c>
    </row>
    <row r="70" spans="1:12">
      <c r="A70" s="183" t="s">
        <v>1650</v>
      </c>
      <c r="B70" s="66"/>
      <c r="C70" s="66"/>
      <c r="D70" s="66"/>
      <c r="E70" s="66"/>
      <c r="F70" s="66"/>
      <c r="G70" s="66"/>
      <c r="H70" s="66"/>
      <c r="I70" s="66"/>
      <c r="J70" s="66"/>
      <c r="K70" s="55"/>
      <c r="L70" s="423"/>
    </row>
    <row r="71" spans="1:12">
      <c r="A71" s="187" t="s">
        <v>1653</v>
      </c>
      <c r="B71" s="584"/>
      <c r="C71" s="584"/>
      <c r="D71" s="584"/>
      <c r="E71" s="584"/>
      <c r="F71" s="584"/>
      <c r="G71" s="584"/>
      <c r="H71" s="584"/>
      <c r="I71" s="584"/>
      <c r="J71" s="471">
        <f t="shared" ref="J71:K74" si="16">B71+D71+F71+H71</f>
        <v>0</v>
      </c>
      <c r="K71" s="471">
        <f t="shared" si="16"/>
        <v>0</v>
      </c>
      <c r="L71" s="1188" t="s">
        <v>1658</v>
      </c>
    </row>
    <row r="72" spans="1:12">
      <c r="A72" s="187" t="s">
        <v>2189</v>
      </c>
      <c r="B72" s="584"/>
      <c r="C72" s="584"/>
      <c r="D72" s="584"/>
      <c r="E72" s="584"/>
      <c r="F72" s="584"/>
      <c r="G72" s="584"/>
      <c r="H72" s="584"/>
      <c r="I72" s="584"/>
      <c r="J72" s="471">
        <f t="shared" si="16"/>
        <v>0</v>
      </c>
      <c r="K72" s="471">
        <f t="shared" si="16"/>
        <v>0</v>
      </c>
      <c r="L72" s="1188" t="s">
        <v>302</v>
      </c>
    </row>
    <row r="73" spans="1:12">
      <c r="A73" s="184" t="s">
        <v>2190</v>
      </c>
      <c r="B73" s="584"/>
      <c r="C73" s="584"/>
      <c r="D73" s="584"/>
      <c r="E73" s="584"/>
      <c r="F73" s="584"/>
      <c r="G73" s="584"/>
      <c r="H73" s="584"/>
      <c r="I73" s="584"/>
      <c r="J73" s="471">
        <f t="shared" si="16"/>
        <v>0</v>
      </c>
      <c r="K73" s="471">
        <f t="shared" si="16"/>
        <v>0</v>
      </c>
      <c r="L73" s="1188" t="s">
        <v>309</v>
      </c>
    </row>
    <row r="74" spans="1:12">
      <c r="A74" s="184" t="s">
        <v>2191</v>
      </c>
      <c r="B74" s="584"/>
      <c r="C74" s="584"/>
      <c r="D74" s="584"/>
      <c r="E74" s="584"/>
      <c r="F74" s="584"/>
      <c r="G74" s="584"/>
      <c r="H74" s="584"/>
      <c r="I74" s="584"/>
      <c r="J74" s="471">
        <f t="shared" si="16"/>
        <v>0</v>
      </c>
      <c r="K74" s="471">
        <f t="shared" si="16"/>
        <v>0</v>
      </c>
      <c r="L74" s="1188" t="s">
        <v>315</v>
      </c>
    </row>
    <row r="75" spans="1:12">
      <c r="A75" s="464" t="s">
        <v>1650</v>
      </c>
      <c r="B75" s="471">
        <f t="shared" ref="B75:K75" si="17">SUM(B71:B74)</f>
        <v>0</v>
      </c>
      <c r="C75" s="471">
        <f t="shared" si="17"/>
        <v>0</v>
      </c>
      <c r="D75" s="471">
        <f t="shared" si="17"/>
        <v>0</v>
      </c>
      <c r="E75" s="471">
        <f t="shared" si="17"/>
        <v>0</v>
      </c>
      <c r="F75" s="471">
        <f t="shared" si="17"/>
        <v>0</v>
      </c>
      <c r="G75" s="471">
        <f t="shared" si="17"/>
        <v>0</v>
      </c>
      <c r="H75" s="471">
        <f t="shared" si="17"/>
        <v>0</v>
      </c>
      <c r="I75" s="471">
        <f t="shared" si="17"/>
        <v>0</v>
      </c>
      <c r="J75" s="471">
        <f t="shared" si="17"/>
        <v>0</v>
      </c>
      <c r="K75" s="471">
        <f t="shared" si="17"/>
        <v>0</v>
      </c>
      <c r="L75" s="1188" t="s">
        <v>316</v>
      </c>
    </row>
    <row r="76" spans="1:12">
      <c r="A76" s="158" t="s">
        <v>2192</v>
      </c>
      <c r="B76" s="66"/>
      <c r="C76" s="66"/>
      <c r="D76" s="66"/>
      <c r="E76" s="66"/>
      <c r="F76" s="66"/>
      <c r="G76" s="66"/>
      <c r="H76" s="66"/>
      <c r="I76" s="66"/>
      <c r="J76" s="66"/>
      <c r="K76" s="55"/>
      <c r="L76" s="423"/>
    </row>
    <row r="77" spans="1:12">
      <c r="A77" s="185" t="s">
        <v>1430</v>
      </c>
      <c r="B77" s="584"/>
      <c r="C77" s="584"/>
      <c r="D77" s="584"/>
      <c r="E77" s="584"/>
      <c r="F77" s="584"/>
      <c r="G77" s="584"/>
      <c r="H77" s="584"/>
      <c r="I77" s="584"/>
      <c r="J77" s="471">
        <f>B77+D77+F77+H77</f>
        <v>0</v>
      </c>
      <c r="K77" s="471">
        <f>C77+E77+G77+I77</f>
        <v>0</v>
      </c>
      <c r="L77" s="1188" t="s">
        <v>1800</v>
      </c>
    </row>
    <row r="78" spans="1:12">
      <c r="A78" s="184" t="s">
        <v>1431</v>
      </c>
      <c r="B78" s="584"/>
      <c r="C78" s="584"/>
      <c r="D78" s="584"/>
      <c r="E78" s="584"/>
      <c r="F78" s="584"/>
      <c r="G78" s="584"/>
      <c r="H78" s="584"/>
      <c r="I78" s="584"/>
      <c r="J78" s="471">
        <f t="shared" ref="J78:K84" si="18">B78+D78+F78+H78</f>
        <v>0</v>
      </c>
      <c r="K78" s="471">
        <f t="shared" si="18"/>
        <v>0</v>
      </c>
      <c r="L78" s="1188" t="s">
        <v>2220</v>
      </c>
    </row>
    <row r="79" spans="1:12">
      <c r="A79" s="211" t="s">
        <v>233</v>
      </c>
      <c r="B79" s="584"/>
      <c r="C79" s="584"/>
      <c r="D79" s="584"/>
      <c r="E79" s="584"/>
      <c r="F79" s="584"/>
      <c r="G79" s="584"/>
      <c r="H79" s="584"/>
      <c r="I79" s="584"/>
      <c r="J79" s="471">
        <f t="shared" si="18"/>
        <v>0</v>
      </c>
      <c r="K79" s="471">
        <f t="shared" si="18"/>
        <v>0</v>
      </c>
      <c r="L79" s="1188" t="s">
        <v>2227</v>
      </c>
    </row>
    <row r="80" spans="1:12">
      <c r="A80" s="212" t="s">
        <v>234</v>
      </c>
      <c r="B80" s="584"/>
      <c r="C80" s="584"/>
      <c r="D80" s="584"/>
      <c r="E80" s="584"/>
      <c r="F80" s="584"/>
      <c r="G80" s="584"/>
      <c r="H80" s="584"/>
      <c r="I80" s="584"/>
      <c r="J80" s="471">
        <f t="shared" si="18"/>
        <v>0</v>
      </c>
      <c r="K80" s="471">
        <f t="shared" si="18"/>
        <v>0</v>
      </c>
      <c r="L80" s="1188" t="s">
        <v>1065</v>
      </c>
    </row>
    <row r="81" spans="1:12">
      <c r="A81" s="187" t="s">
        <v>2233</v>
      </c>
      <c r="B81" s="584"/>
      <c r="C81" s="584"/>
      <c r="D81" s="584"/>
      <c r="E81" s="584"/>
      <c r="F81" s="584"/>
      <c r="G81" s="584"/>
      <c r="H81" s="584"/>
      <c r="I81" s="584"/>
      <c r="J81" s="471">
        <f t="shared" si="18"/>
        <v>0</v>
      </c>
      <c r="K81" s="471">
        <f t="shared" si="18"/>
        <v>0</v>
      </c>
      <c r="L81" s="1188" t="s">
        <v>1807</v>
      </c>
    </row>
    <row r="82" spans="1:12">
      <c r="A82" s="187" t="s">
        <v>1896</v>
      </c>
      <c r="B82" s="584"/>
      <c r="C82" s="584"/>
      <c r="D82" s="584"/>
      <c r="E82" s="584"/>
      <c r="F82" s="584"/>
      <c r="G82" s="584"/>
      <c r="H82" s="584"/>
      <c r="I82" s="584"/>
      <c r="J82" s="471">
        <f t="shared" si="18"/>
        <v>0</v>
      </c>
      <c r="K82" s="471">
        <f t="shared" si="18"/>
        <v>0</v>
      </c>
      <c r="L82" s="1188" t="s">
        <v>1812</v>
      </c>
    </row>
    <row r="83" spans="1:12">
      <c r="A83" s="187" t="s">
        <v>236</v>
      </c>
      <c r="B83" s="584"/>
      <c r="C83" s="584"/>
      <c r="D83" s="584"/>
      <c r="E83" s="584"/>
      <c r="F83" s="584"/>
      <c r="G83" s="584"/>
      <c r="H83" s="584"/>
      <c r="I83" s="584"/>
      <c r="J83" s="471">
        <f t="shared" si="18"/>
        <v>0</v>
      </c>
      <c r="K83" s="471">
        <f t="shared" si="18"/>
        <v>0</v>
      </c>
      <c r="L83" s="1188" t="s">
        <v>1073</v>
      </c>
    </row>
    <row r="84" spans="1:12">
      <c r="A84" s="184" t="s">
        <v>237</v>
      </c>
      <c r="B84" s="584"/>
      <c r="C84" s="584"/>
      <c r="D84" s="584"/>
      <c r="E84" s="584"/>
      <c r="F84" s="584"/>
      <c r="G84" s="584"/>
      <c r="H84" s="584"/>
      <c r="I84" s="584"/>
      <c r="J84" s="471">
        <f t="shared" si="18"/>
        <v>0</v>
      </c>
      <c r="K84" s="471">
        <f t="shared" si="18"/>
        <v>0</v>
      </c>
      <c r="L84" s="1188" t="s">
        <v>1079</v>
      </c>
    </row>
    <row r="85" spans="1:12">
      <c r="A85" s="464" t="s">
        <v>1080</v>
      </c>
      <c r="B85" s="471">
        <f t="shared" ref="B85:K85" si="19">SUM(B77:B84)</f>
        <v>0</v>
      </c>
      <c r="C85" s="471">
        <f t="shared" si="19"/>
        <v>0</v>
      </c>
      <c r="D85" s="471">
        <f t="shared" si="19"/>
        <v>0</v>
      </c>
      <c r="E85" s="471">
        <f t="shared" si="19"/>
        <v>0</v>
      </c>
      <c r="F85" s="471">
        <f t="shared" si="19"/>
        <v>0</v>
      </c>
      <c r="G85" s="471">
        <f t="shared" si="19"/>
        <v>0</v>
      </c>
      <c r="H85" s="471">
        <f t="shared" si="19"/>
        <v>0</v>
      </c>
      <c r="I85" s="471">
        <f t="shared" si="19"/>
        <v>0</v>
      </c>
      <c r="J85" s="471">
        <f t="shared" si="19"/>
        <v>0</v>
      </c>
      <c r="K85" s="471">
        <f t="shared" si="19"/>
        <v>0</v>
      </c>
      <c r="L85" s="1188" t="s">
        <v>1081</v>
      </c>
    </row>
    <row r="86" spans="1:12">
      <c r="A86" s="157" t="s">
        <v>1082</v>
      </c>
      <c r="B86" s="66"/>
      <c r="C86" s="66"/>
      <c r="D86" s="66"/>
      <c r="E86" s="66"/>
      <c r="F86" s="66"/>
      <c r="G86" s="66"/>
      <c r="H86" s="66"/>
      <c r="I86" s="66"/>
      <c r="J86" s="66"/>
      <c r="K86" s="55"/>
      <c r="L86" s="423"/>
    </row>
    <row r="87" spans="1:12">
      <c r="A87" s="184" t="s">
        <v>238</v>
      </c>
      <c r="B87" s="584"/>
      <c r="C87" s="584"/>
      <c r="D87" s="584"/>
      <c r="E87" s="584"/>
      <c r="F87" s="584"/>
      <c r="G87" s="584"/>
      <c r="H87" s="584"/>
      <c r="I87" s="584"/>
      <c r="J87" s="471">
        <f>B87+D87+F87+H87</f>
        <v>0</v>
      </c>
      <c r="K87" s="471">
        <f>C87+E87+G87+I87</f>
        <v>0</v>
      </c>
      <c r="L87" s="1188" t="s">
        <v>685</v>
      </c>
    </row>
    <row r="88" spans="1:12">
      <c r="A88" s="184" t="s">
        <v>239</v>
      </c>
      <c r="B88" s="584">
        <v>12</v>
      </c>
      <c r="C88" s="584">
        <v>24</v>
      </c>
      <c r="D88" s="584">
        <v>0</v>
      </c>
      <c r="E88" s="584">
        <v>0</v>
      </c>
      <c r="F88" s="584">
        <v>0</v>
      </c>
      <c r="G88" s="584">
        <v>0</v>
      </c>
      <c r="H88" s="584">
        <v>0</v>
      </c>
      <c r="I88" s="584">
        <v>0</v>
      </c>
      <c r="J88" s="471">
        <f>B88+D88+F88+H88</f>
        <v>12</v>
      </c>
      <c r="K88" s="471">
        <f>C88+E88+G88+I88</f>
        <v>24</v>
      </c>
      <c r="L88" s="1188" t="s">
        <v>693</v>
      </c>
    </row>
    <row r="89" spans="1:12">
      <c r="A89" s="464" t="s">
        <v>1082</v>
      </c>
      <c r="B89" s="471">
        <f t="shared" ref="B89:K89" si="20">SUM(B87:B88)</f>
        <v>12</v>
      </c>
      <c r="C89" s="471">
        <f t="shared" si="20"/>
        <v>24</v>
      </c>
      <c r="D89" s="471">
        <f t="shared" si="20"/>
        <v>0</v>
      </c>
      <c r="E89" s="471">
        <f t="shared" si="20"/>
        <v>0</v>
      </c>
      <c r="F89" s="471">
        <f t="shared" si="20"/>
        <v>0</v>
      </c>
      <c r="G89" s="471">
        <f t="shared" si="20"/>
        <v>0</v>
      </c>
      <c r="H89" s="471">
        <f t="shared" si="20"/>
        <v>0</v>
      </c>
      <c r="I89" s="471">
        <f t="shared" si="20"/>
        <v>0</v>
      </c>
      <c r="J89" s="471">
        <f t="shared" si="20"/>
        <v>12</v>
      </c>
      <c r="K89" s="471">
        <f t="shared" si="20"/>
        <v>24</v>
      </c>
      <c r="L89" s="1188" t="s">
        <v>694</v>
      </c>
    </row>
    <row r="90" spans="1:12">
      <c r="A90" s="161"/>
      <c r="B90" s="66"/>
      <c r="C90" s="66"/>
      <c r="D90" s="66"/>
      <c r="E90" s="66"/>
      <c r="F90" s="66"/>
      <c r="G90" s="66"/>
      <c r="H90" s="66"/>
      <c r="I90" s="66"/>
      <c r="J90" s="66"/>
      <c r="K90" s="55"/>
      <c r="L90" s="423"/>
    </row>
    <row r="91" spans="1:12">
      <c r="A91" s="464" t="s">
        <v>696</v>
      </c>
      <c r="B91" s="471">
        <f>B52+B65+B69+B75+B85+B89+B44+B39+B28+B20</f>
        <v>184</v>
      </c>
      <c r="C91" s="471">
        <f t="shared" ref="C91:K91" si="21">C52+C65+C69+C75+C85+C89+C44+C39+C28+C20</f>
        <v>383</v>
      </c>
      <c r="D91" s="471">
        <f t="shared" si="21"/>
        <v>0</v>
      </c>
      <c r="E91" s="471">
        <f t="shared" si="21"/>
        <v>3</v>
      </c>
      <c r="F91" s="471">
        <f t="shared" si="21"/>
        <v>0</v>
      </c>
      <c r="G91" s="471">
        <f t="shared" si="21"/>
        <v>27</v>
      </c>
      <c r="H91" s="471">
        <f t="shared" si="21"/>
        <v>0</v>
      </c>
      <c r="I91" s="471">
        <f t="shared" si="21"/>
        <v>34</v>
      </c>
      <c r="J91" s="471">
        <f t="shared" si="21"/>
        <v>184</v>
      </c>
      <c r="K91" s="471">
        <f t="shared" si="21"/>
        <v>447</v>
      </c>
      <c r="L91" s="1202" t="s">
        <v>697</v>
      </c>
    </row>
    <row r="92" spans="1:12">
      <c r="A92" s="162"/>
      <c r="B92" s="55"/>
      <c r="C92" s="55"/>
      <c r="D92" s="55"/>
      <c r="E92" s="55"/>
      <c r="F92" s="55"/>
    </row>
    <row r="93" spans="1:12">
      <c r="A93" s="152" t="s">
        <v>1997</v>
      </c>
      <c r="B93" s="55"/>
      <c r="C93" s="878"/>
      <c r="D93" s="55"/>
      <c r="E93" s="55"/>
      <c r="F93" s="55"/>
    </row>
  </sheetData>
  <sheetProtection algorithmName="SHA-512" hashValue="wn7PDWFNZssniSDITZzWXFt38LjOjSI3LA3v8eru069JrwREbD2XM9ijYlfKmWrMPxFblb5aVfKU9a4WtlvJww==" saltValue="bzKnpJZ2sCpufUEfdi2HRA==" spinCount="100000" sheet="1" objects="1" scenarios="1"/>
  <mergeCells count="14">
    <mergeCell ref="A7:I7"/>
    <mergeCell ref="A8:I8"/>
    <mergeCell ref="D1:E1"/>
    <mergeCell ref="A3:K3"/>
    <mergeCell ref="A4:K4"/>
    <mergeCell ref="A6:K6"/>
    <mergeCell ref="B10:I10"/>
    <mergeCell ref="J10:K12"/>
    <mergeCell ref="B11:C11"/>
    <mergeCell ref="D11:I11"/>
    <mergeCell ref="B12:C12"/>
    <mergeCell ref="D12:E12"/>
    <mergeCell ref="F12:G12"/>
    <mergeCell ref="H12:I12"/>
  </mergeCells>
  <dataValidations xWindow="6079" yWindow="42312" count="1">
    <dataValidation type="whole" allowBlank="1" showInputMessage="1" showErrorMessage="1" errorTitle="Erreur de saisie" error="Vous devez saisir une valeur entière" sqref="B15:I19 B22:I27 B30:I38 B41:I43 B46:I51 B54:I64 B67:I68 B71:I74 B77:I84 B87:I88">
      <formula1>0</formula1>
      <formula2>999999999999</formula2>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48" firstPageNumber="0" orientation="portrait" r:id="rId1"/>
  <headerFooter alignWithMargins="0">
    <oddFooter>&amp;LRSU 2020 - Présentation au CTP&amp;R&amp;P/&amp;N
&amp;A</oddFooter>
  </headerFooter>
</worksheet>
</file>

<file path=xl/worksheets/sheet25.xml><?xml version="1.0" encoding="utf-8"?>
<worksheet xmlns="http://schemas.openxmlformats.org/spreadsheetml/2006/main" xmlns:r="http://schemas.openxmlformats.org/officeDocument/2006/relationships">
  <sheetPr codeName="Feuil17">
    <pageSetUpPr fitToPage="1"/>
  </sheetPr>
  <dimension ref="A1:H31"/>
  <sheetViews>
    <sheetView showGridLines="0" zoomScaleNormal="100" workbookViewId="0"/>
  </sheetViews>
  <sheetFormatPr baseColWidth="10" defaultColWidth="10.85546875" defaultRowHeight="12.75" customHeight="1"/>
  <cols>
    <col min="1" max="3" width="10.85546875" customWidth="1"/>
    <col min="4" max="4" width="19.85546875" customWidth="1"/>
    <col min="5" max="5" width="16.42578125" customWidth="1"/>
    <col min="6" max="7" width="10.85546875" customWidth="1"/>
    <col min="8" max="8" width="17.7109375" customWidth="1"/>
  </cols>
  <sheetData>
    <row r="1" spans="1:8" ht="17.100000000000001" customHeight="1">
      <c r="A1" s="1"/>
      <c r="B1" s="1"/>
      <c r="C1" s="1"/>
      <c r="D1" s="21"/>
      <c r="E1" s="1073" t="s">
        <v>958</v>
      </c>
      <c r="F1" s="21"/>
      <c r="G1" s="1"/>
      <c r="H1" s="1"/>
    </row>
    <row r="2" spans="1:8" ht="13.5" thickBot="1"/>
    <row r="3" spans="1:8" ht="25.5" customHeight="1" thickBot="1">
      <c r="A3" s="2267" t="s">
        <v>2348</v>
      </c>
      <c r="B3" s="2267"/>
      <c r="C3" s="2267"/>
      <c r="D3" s="2267"/>
      <c r="E3" s="2267"/>
      <c r="F3" s="2267"/>
      <c r="G3" s="2267"/>
      <c r="H3" s="2267"/>
    </row>
    <row r="6" spans="1:8" ht="12.75" customHeight="1">
      <c r="A6" s="2242" t="s">
        <v>1862</v>
      </c>
      <c r="B6" s="2242"/>
      <c r="C6" s="2242"/>
      <c r="D6" s="2242"/>
      <c r="E6" s="2242"/>
      <c r="F6" s="2242"/>
      <c r="G6" s="2242"/>
      <c r="H6" s="2242"/>
    </row>
    <row r="7" spans="1:8" ht="12.75" customHeight="1">
      <c r="A7" s="2244" t="s">
        <v>1863</v>
      </c>
      <c r="B7" s="2244"/>
      <c r="C7" s="2244"/>
      <c r="D7" s="2244"/>
      <c r="E7" s="2244"/>
      <c r="F7" s="2244"/>
      <c r="G7" s="2244"/>
      <c r="H7" s="2244"/>
    </row>
    <row r="10" spans="1:8" ht="12.75" customHeight="1">
      <c r="A10" s="2244" t="s">
        <v>959</v>
      </c>
      <c r="B10" s="2244"/>
      <c r="C10" s="2244"/>
      <c r="D10" s="2244"/>
      <c r="E10" s="2244"/>
      <c r="F10" s="2244"/>
      <c r="G10" s="2244"/>
      <c r="H10" s="2244"/>
    </row>
    <row r="12" spans="1:8" ht="12.75" customHeight="1">
      <c r="A12" s="2239" t="s">
        <v>1864</v>
      </c>
      <c r="B12" s="2239"/>
      <c r="C12" s="2239"/>
      <c r="D12" s="2239"/>
      <c r="E12" s="2239"/>
      <c r="F12" s="2239"/>
      <c r="G12" s="2239"/>
      <c r="H12" s="2239"/>
    </row>
    <row r="14" spans="1:8" ht="12.75" customHeight="1">
      <c r="A14" s="2239" t="s">
        <v>1040</v>
      </c>
      <c r="B14" s="2239"/>
      <c r="C14" s="2239"/>
      <c r="D14" s="2239"/>
      <c r="E14" s="2239"/>
      <c r="F14" s="2239"/>
      <c r="G14" s="2239"/>
      <c r="H14" s="2239"/>
    </row>
    <row r="16" spans="1:8" ht="12.75" customHeight="1">
      <c r="A16" s="2239" t="s">
        <v>1041</v>
      </c>
      <c r="B16" s="2239"/>
      <c r="C16" s="2239"/>
      <c r="D16" s="2239"/>
      <c r="E16" s="2239"/>
      <c r="F16" s="2239"/>
      <c r="G16" s="2239"/>
      <c r="H16" s="2239"/>
    </row>
    <row r="17" spans="1:8" ht="51" customHeight="1">
      <c r="A17" s="2373" t="s">
        <v>581</v>
      </c>
      <c r="B17" s="2374"/>
      <c r="C17" s="2374"/>
      <c r="D17" s="2374"/>
      <c r="E17" s="2374"/>
      <c r="F17" s="2374"/>
      <c r="G17" s="2374"/>
      <c r="H17" s="2374"/>
    </row>
    <row r="18" spans="1:8" ht="38.25" customHeight="1">
      <c r="A18" s="2374" t="s">
        <v>582</v>
      </c>
      <c r="B18" s="2374"/>
      <c r="C18" s="2374"/>
      <c r="D18" s="2374"/>
      <c r="E18" s="2374"/>
      <c r="F18" s="2374"/>
      <c r="G18" s="2374"/>
      <c r="H18" s="2374"/>
    </row>
    <row r="20" spans="1:8" ht="12.75" customHeight="1">
      <c r="A20" s="2239" t="s">
        <v>2591</v>
      </c>
      <c r="B20" s="2239"/>
      <c r="C20" s="2239"/>
      <c r="D20" s="2239"/>
      <c r="E20" s="2239"/>
      <c r="F20" s="2239"/>
      <c r="G20" s="1103"/>
      <c r="H20" s="1103"/>
    </row>
    <row r="22" spans="1:8" ht="12.75" customHeight="1">
      <c r="A22" s="2266" t="s">
        <v>583</v>
      </c>
      <c r="B22" s="2266"/>
      <c r="C22" s="2266"/>
      <c r="D22" s="2266"/>
      <c r="E22" s="2266"/>
      <c r="F22" s="2266"/>
      <c r="G22" s="2266"/>
      <c r="H22" s="2266"/>
    </row>
    <row r="25" spans="1:8" ht="12.75" customHeight="1">
      <c r="A25" s="2244" t="s">
        <v>960</v>
      </c>
      <c r="B25" s="2244"/>
      <c r="C25" s="2244"/>
      <c r="D25" s="2244"/>
      <c r="E25" s="2244"/>
      <c r="F25" s="2244"/>
      <c r="G25" s="2244"/>
      <c r="H25" s="2244"/>
    </row>
    <row r="27" spans="1:8" ht="12.75" customHeight="1">
      <c r="A27" s="2239" t="s">
        <v>584</v>
      </c>
      <c r="B27" s="2239"/>
      <c r="C27" s="2239"/>
      <c r="D27" s="2239"/>
      <c r="E27" s="2239"/>
      <c r="F27" s="2239"/>
      <c r="G27" s="2239"/>
      <c r="H27" s="2239"/>
    </row>
    <row r="29" spans="1:8" ht="12.75" customHeight="1">
      <c r="A29" s="2239" t="s">
        <v>585</v>
      </c>
      <c r="B29" s="2239"/>
      <c r="C29" s="2239"/>
      <c r="D29" s="2239"/>
      <c r="E29" s="2239"/>
      <c r="F29" s="2239"/>
      <c r="G29" s="1096"/>
      <c r="H29" s="1096"/>
    </row>
    <row r="30" spans="1:8">
      <c r="A30" s="2371" t="s">
        <v>586</v>
      </c>
      <c r="B30" s="2372"/>
      <c r="C30" s="2372"/>
      <c r="D30" s="2372"/>
      <c r="E30" s="2372"/>
      <c r="F30" s="2372"/>
      <c r="G30" s="2372"/>
      <c r="H30" s="2372"/>
    </row>
    <row r="31" spans="1:8">
      <c r="A31" s="2371" t="s">
        <v>587</v>
      </c>
      <c r="B31" s="2372"/>
      <c r="C31" s="2372"/>
      <c r="D31" s="2372"/>
      <c r="E31" s="2372"/>
      <c r="F31" s="2372"/>
      <c r="G31" s="2372"/>
      <c r="H31" s="2372"/>
    </row>
  </sheetData>
  <sheetProtection algorithmName="SHA-512" hashValue="CfuTLwTe5/8mudfoVe+rS3CNrH1ScOD71PnUKepJpBhoWw7Vsy6Y5+9T6wuTTNHJ9Y8ucWlYFvX+c+yXiN6M7g==" saltValue="dGIqFXOqBSSJdnhb86Hz8A==" spinCount="100000" sheet="1" objects="1" scenarios="1"/>
  <mergeCells count="16">
    <mergeCell ref="A29:F29"/>
    <mergeCell ref="A30:H30"/>
    <mergeCell ref="A31:H31"/>
    <mergeCell ref="A14:H14"/>
    <mergeCell ref="A16:H16"/>
    <mergeCell ref="A17:H17"/>
    <mergeCell ref="A18:H18"/>
    <mergeCell ref="A20:F20"/>
    <mergeCell ref="A22:H22"/>
    <mergeCell ref="A25:H25"/>
    <mergeCell ref="A27:H27"/>
    <mergeCell ref="A10:H10"/>
    <mergeCell ref="A12:H12"/>
    <mergeCell ref="A3:H3"/>
    <mergeCell ref="A6:H6"/>
    <mergeCell ref="A7:H7"/>
  </mergeCells>
  <hyperlinks>
    <hyperlink ref="E1" location="Sommaire!A1" display="Retour Sommaire"/>
  </hyperlinks>
  <printOptions horizontalCentered="1"/>
  <pageMargins left="0.59055118110236227" right="0.59055118110236227" top="0.59055118110236227" bottom="0.59055118110236227" header="0.51181102362204722" footer="0.27559055118110237"/>
  <pageSetup paperSize="9" scale="85" firstPageNumber="0" orientation="portrait" r:id="rId1"/>
  <headerFooter alignWithMargins="0">
    <oddFooter>&amp;LRSU 2020 - Présentation au CTP&amp;R&amp;P/&amp;N
&amp;A</oddFooter>
  </headerFooter>
</worksheet>
</file>

<file path=xl/worksheets/sheet26.xml><?xml version="1.0" encoding="utf-8"?>
<worksheet xmlns="http://schemas.openxmlformats.org/spreadsheetml/2006/main" xmlns:r="http://schemas.openxmlformats.org/officeDocument/2006/relationships">
  <sheetPr codeName="Feuil18">
    <pageSetUpPr fitToPage="1"/>
  </sheetPr>
  <dimension ref="A1:I17"/>
  <sheetViews>
    <sheetView showGridLines="0" workbookViewId="0"/>
  </sheetViews>
  <sheetFormatPr baseColWidth="10" defaultColWidth="10.85546875" defaultRowHeight="12.75" customHeight="1"/>
  <cols>
    <col min="1" max="1" width="19.28515625" customWidth="1"/>
    <col min="2" max="2" width="18.42578125" customWidth="1"/>
    <col min="3" max="4" width="20.28515625" customWidth="1"/>
    <col min="5" max="5" width="18" customWidth="1"/>
  </cols>
  <sheetData>
    <row r="1" spans="1:9" ht="17.100000000000001" customHeight="1">
      <c r="A1" s="1"/>
      <c r="B1" s="1"/>
      <c r="C1" s="1073" t="s">
        <v>958</v>
      </c>
      <c r="D1" s="9"/>
      <c r="E1" s="1"/>
      <c r="F1" s="1"/>
      <c r="G1" s="1"/>
      <c r="H1" s="1"/>
      <c r="I1" s="1"/>
    </row>
    <row r="2" spans="1:9" ht="13.5" thickBot="1">
      <c r="A2" s="1"/>
      <c r="B2" s="1"/>
      <c r="C2" s="1"/>
      <c r="D2" s="1"/>
      <c r="E2" s="1"/>
      <c r="F2" s="9"/>
      <c r="G2" s="1"/>
      <c r="H2" s="1"/>
      <c r="I2" s="1"/>
    </row>
    <row r="3" spans="1:9" ht="25.5" customHeight="1" thickBot="1">
      <c r="A3" s="2376" t="s">
        <v>2349</v>
      </c>
      <c r="B3" s="2376"/>
      <c r="C3" s="2376"/>
      <c r="D3" s="2376"/>
      <c r="E3" s="2376"/>
      <c r="F3" s="2376"/>
      <c r="G3" s="875"/>
      <c r="H3" s="875"/>
      <c r="I3" s="50"/>
    </row>
    <row r="4" spans="1:9">
      <c r="A4" s="414"/>
      <c r="B4" s="414"/>
      <c r="C4" s="414"/>
      <c r="D4" s="414"/>
      <c r="E4" s="414"/>
      <c r="F4" s="414"/>
      <c r="G4" s="414"/>
      <c r="H4" s="414"/>
      <c r="I4" s="9"/>
    </row>
    <row r="5" spans="1:9" ht="25.5" customHeight="1">
      <c r="A5" s="2270" t="s">
        <v>2350</v>
      </c>
      <c r="B5" s="2270"/>
      <c r="C5" s="2270"/>
      <c r="D5" s="2270"/>
      <c r="E5" s="2270"/>
      <c r="F5" s="2270"/>
      <c r="G5" s="56"/>
      <c r="H5" s="44"/>
      <c r="I5" s="9"/>
    </row>
    <row r="6" spans="1:9">
      <c r="A6" s="414"/>
      <c r="B6" s="414"/>
      <c r="C6" s="1190">
        <v>1</v>
      </c>
      <c r="D6" s="1190">
        <v>2</v>
      </c>
      <c r="E6" s="1190" t="s">
        <v>1951</v>
      </c>
      <c r="F6" s="414"/>
      <c r="G6" s="414"/>
      <c r="H6" s="414"/>
      <c r="I6" s="9"/>
    </row>
    <row r="7" spans="1:9" ht="25.5">
      <c r="A7" s="414"/>
      <c r="B7" s="414"/>
      <c r="C7" s="112" t="s">
        <v>2020</v>
      </c>
      <c r="D7" s="112" t="s">
        <v>2021</v>
      </c>
      <c r="E7" s="1188" t="s">
        <v>711</v>
      </c>
      <c r="F7" s="1188" t="s">
        <v>1307</v>
      </c>
      <c r="G7" s="414"/>
      <c r="H7" s="414"/>
      <c r="I7" s="9"/>
    </row>
    <row r="8" spans="1:9">
      <c r="A8" s="414"/>
      <c r="B8" s="414"/>
      <c r="C8" s="424" t="s">
        <v>2022</v>
      </c>
      <c r="D8" s="424" t="s">
        <v>2023</v>
      </c>
      <c r="E8" s="423"/>
      <c r="F8" s="423"/>
      <c r="G8" s="414"/>
      <c r="H8" s="414"/>
      <c r="I8" s="9"/>
    </row>
    <row r="9" spans="1:9">
      <c r="A9" s="2375" t="s">
        <v>714</v>
      </c>
      <c r="B9" s="73" t="s">
        <v>707</v>
      </c>
      <c r="C9" s="686"/>
      <c r="D9" s="686"/>
      <c r="E9" s="1198">
        <v>1</v>
      </c>
      <c r="F9" s="1198">
        <v>1</v>
      </c>
      <c r="G9" s="414"/>
      <c r="H9" s="414"/>
      <c r="I9" s="1" t="s">
        <v>72</v>
      </c>
    </row>
    <row r="10" spans="1:9">
      <c r="A10" s="2375"/>
      <c r="B10" s="110" t="s">
        <v>708</v>
      </c>
      <c r="C10" s="686"/>
      <c r="D10" s="686"/>
      <c r="E10" s="1198">
        <v>1</v>
      </c>
      <c r="F10" s="1198">
        <v>2</v>
      </c>
      <c r="G10" s="414"/>
      <c r="H10" s="414"/>
      <c r="I10" s="9"/>
    </row>
    <row r="11" spans="1:9">
      <c r="A11" s="2375"/>
      <c r="B11" s="475" t="s">
        <v>768</v>
      </c>
      <c r="C11" s="687">
        <f>SUM(C9:C10)</f>
        <v>0</v>
      </c>
      <c r="D11" s="687">
        <f>SUM(D9:D10)</f>
        <v>0</v>
      </c>
      <c r="E11" s="1198">
        <v>1</v>
      </c>
      <c r="F11" s="1198">
        <v>0</v>
      </c>
      <c r="G11" s="414"/>
      <c r="H11" s="414"/>
      <c r="I11" s="9"/>
    </row>
    <row r="12" spans="1:9">
      <c r="A12" s="2375" t="s">
        <v>715</v>
      </c>
      <c r="B12" s="113" t="s">
        <v>707</v>
      </c>
      <c r="C12" s="565"/>
      <c r="D12" s="566"/>
      <c r="E12" s="1198">
        <v>2</v>
      </c>
      <c r="F12" s="1198">
        <v>1</v>
      </c>
      <c r="G12" s="414"/>
      <c r="H12" s="414"/>
      <c r="I12" s="9"/>
    </row>
    <row r="13" spans="1:9">
      <c r="A13" s="2375"/>
      <c r="B13" s="114" t="s">
        <v>708</v>
      </c>
      <c r="C13" s="565">
        <v>0</v>
      </c>
      <c r="D13" s="566">
        <v>1</v>
      </c>
      <c r="E13" s="1198">
        <v>2</v>
      </c>
      <c r="F13" s="1198">
        <v>2</v>
      </c>
      <c r="G13" s="414"/>
      <c r="H13" s="414"/>
      <c r="I13" s="9"/>
    </row>
    <row r="14" spans="1:9">
      <c r="A14" s="2375"/>
      <c r="B14" s="475" t="s">
        <v>768</v>
      </c>
      <c r="C14" s="687">
        <f>SUM(C12:C13)</f>
        <v>0</v>
      </c>
      <c r="D14" s="687">
        <f>SUM(D12:D13)</f>
        <v>1</v>
      </c>
      <c r="E14" s="1198">
        <v>2</v>
      </c>
      <c r="F14" s="1198">
        <v>0</v>
      </c>
      <c r="G14" s="414"/>
      <c r="H14" s="414"/>
      <c r="I14" s="9"/>
    </row>
    <row r="15" spans="1:9">
      <c r="A15" s="2375" t="s">
        <v>670</v>
      </c>
      <c r="B15" s="113" t="s">
        <v>707</v>
      </c>
      <c r="C15" s="565"/>
      <c r="D15" s="566"/>
      <c r="E15" s="1198">
        <v>3</v>
      </c>
      <c r="F15" s="1198">
        <v>1</v>
      </c>
      <c r="G15" s="414"/>
      <c r="H15" s="414"/>
      <c r="I15" s="9"/>
    </row>
    <row r="16" spans="1:9">
      <c r="A16" s="2375"/>
      <c r="B16" s="114" t="s">
        <v>708</v>
      </c>
      <c r="C16" s="565">
        <v>15</v>
      </c>
      <c r="D16" s="566">
        <v>48</v>
      </c>
      <c r="E16" s="1198">
        <v>3</v>
      </c>
      <c r="F16" s="1198">
        <v>2</v>
      </c>
      <c r="G16" s="414"/>
      <c r="H16" s="414"/>
      <c r="I16" s="9"/>
    </row>
    <row r="17" spans="1:9">
      <c r="A17" s="2375"/>
      <c r="B17" s="475" t="s">
        <v>768</v>
      </c>
      <c r="C17" s="687">
        <f>SUM(C15:C16)</f>
        <v>15</v>
      </c>
      <c r="D17" s="687">
        <f>SUM(D15:D16)</f>
        <v>48</v>
      </c>
      <c r="E17" s="1198">
        <v>3</v>
      </c>
      <c r="F17" s="1198">
        <v>0</v>
      </c>
      <c r="G17" s="414"/>
      <c r="H17" s="414"/>
      <c r="I17" s="9"/>
    </row>
  </sheetData>
  <sheetProtection algorithmName="SHA-512" hashValue="WgrBzMj8BofPZAJtbKI92wBsdLR59hOYTdH2YniqcnjAbIo9zONL3GnHS7liec8/VAnAX2HdrBPkva7hqb7THA==" saltValue="fI0upDkVS59fu+/ovdbU9g==" spinCount="100000" sheet="1" objects="1" scenarios="1"/>
  <mergeCells count="5">
    <mergeCell ref="A15:A17"/>
    <mergeCell ref="A3:F3"/>
    <mergeCell ref="A5:F5"/>
    <mergeCell ref="A9:A11"/>
    <mergeCell ref="A12:A14"/>
  </mergeCells>
  <dataValidations xWindow="51335" yWindow="51441" count="1">
    <dataValidation type="whole" allowBlank="1" showInputMessage="1" showErrorMessage="1" errorTitle="Erreur de saisie" error="Vous devez saisir une valeur entière" sqref="C15:D16 C12:D13 C9:D10">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85" firstPageNumber="0" orientation="portrait" r:id="rId1"/>
  <headerFooter alignWithMargins="0">
    <oddFooter>&amp;LRSU 2020 - Présentation au CTP&amp;R&amp;P/&amp;N
&amp;A</oddFooter>
  </headerFooter>
</worksheet>
</file>

<file path=xl/worksheets/sheet27.xml><?xml version="1.0" encoding="utf-8"?>
<worksheet xmlns="http://schemas.openxmlformats.org/spreadsheetml/2006/main" xmlns:r="http://schemas.openxmlformats.org/officeDocument/2006/relationships">
  <sheetPr codeName="Feuil19">
    <pageSetUpPr fitToPage="1"/>
  </sheetPr>
  <dimension ref="A1:F71"/>
  <sheetViews>
    <sheetView showGridLines="0" zoomScaleNormal="100" workbookViewId="0"/>
  </sheetViews>
  <sheetFormatPr baseColWidth="10" defaultColWidth="10.85546875" defaultRowHeight="12.75" customHeight="1"/>
  <cols>
    <col min="1" max="1" width="6.42578125" customWidth="1"/>
    <col min="2" max="2" width="41.140625" customWidth="1"/>
    <col min="3" max="6" width="19.28515625" customWidth="1"/>
    <col min="7" max="9" width="10.85546875" customWidth="1"/>
  </cols>
  <sheetData>
    <row r="1" spans="1:6" ht="17.100000000000001" customHeight="1">
      <c r="A1" s="137"/>
      <c r="B1" s="137"/>
      <c r="C1" s="1073" t="s">
        <v>958</v>
      </c>
      <c r="D1" s="138"/>
      <c r="E1" s="138"/>
      <c r="F1" s="137"/>
    </row>
    <row r="2" spans="1:6" ht="8.1" customHeight="1" thickBot="1">
      <c r="A2" s="138"/>
      <c r="B2" s="138"/>
      <c r="C2" s="138"/>
      <c r="D2" s="138"/>
      <c r="E2" s="138"/>
      <c r="F2" s="138"/>
    </row>
    <row r="3" spans="1:6" ht="13.5" thickBot="1">
      <c r="A3" s="2381" t="s">
        <v>2405</v>
      </c>
      <c r="B3" s="2381"/>
      <c r="C3" s="2381"/>
      <c r="D3" s="2381"/>
      <c r="E3" s="2381"/>
      <c r="F3" s="2249"/>
    </row>
    <row r="4" spans="1:6">
      <c r="A4" s="138"/>
      <c r="B4" s="138"/>
      <c r="C4" s="138"/>
      <c r="D4" s="138"/>
      <c r="E4" s="138"/>
      <c r="F4" s="138"/>
    </row>
    <row r="5" spans="1:6" ht="41.25" customHeight="1">
      <c r="A5" s="2293" t="s">
        <v>2472</v>
      </c>
      <c r="B5" s="2293"/>
      <c r="C5" s="2293"/>
      <c r="D5" s="2293"/>
      <c r="E5" s="2293"/>
      <c r="F5" s="2382"/>
    </row>
    <row r="6" spans="1:6" ht="12.75" customHeight="1">
      <c r="A6" s="2295" t="s">
        <v>353</v>
      </c>
      <c r="B6" s="2295"/>
      <c r="C6" s="2295"/>
      <c r="D6" s="2295"/>
      <c r="E6" s="2295"/>
      <c r="F6" s="2295"/>
    </row>
    <row r="7" spans="1:6" ht="12.75" customHeight="1">
      <c r="A7" s="2295" t="s">
        <v>355</v>
      </c>
      <c r="B7" s="2295"/>
      <c r="C7" s="2295"/>
      <c r="D7" s="2295"/>
      <c r="E7" s="2295"/>
      <c r="F7" s="2295"/>
    </row>
    <row r="8" spans="1:6" ht="12.75" customHeight="1">
      <c r="A8" s="872"/>
      <c r="B8" s="872"/>
      <c r="C8" s="872"/>
      <c r="D8" s="872"/>
      <c r="E8" s="872"/>
      <c r="F8" s="874"/>
    </row>
    <row r="9" spans="1:6" ht="38.25" customHeight="1">
      <c r="A9" s="2294" t="s">
        <v>354</v>
      </c>
      <c r="B9" s="2380"/>
      <c r="C9" s="2380"/>
      <c r="D9" s="2380"/>
      <c r="E9" s="2380"/>
      <c r="F9" s="2380"/>
    </row>
    <row r="10" spans="1:6" ht="25.5" customHeight="1">
      <c r="A10" s="2288" t="s">
        <v>296</v>
      </c>
      <c r="B10" s="2379"/>
      <c r="C10" s="2379"/>
      <c r="D10" s="2379"/>
      <c r="E10" s="2379"/>
      <c r="F10" s="2379"/>
    </row>
    <row r="11" spans="1:6" ht="12.75" customHeight="1">
      <c r="A11" s="2288" t="s">
        <v>297</v>
      </c>
      <c r="B11" s="2379"/>
      <c r="C11" s="2379"/>
      <c r="D11" s="2379"/>
      <c r="E11" s="2379"/>
      <c r="F11" s="2379"/>
    </row>
    <row r="12" spans="1:6" ht="25.5" customHeight="1">
      <c r="A12" s="2288" t="s">
        <v>298</v>
      </c>
      <c r="B12" s="2302"/>
      <c r="C12" s="2302"/>
      <c r="D12" s="2302"/>
      <c r="E12" s="2302"/>
      <c r="F12" s="2302"/>
    </row>
    <row r="13" spans="1:6" ht="38.25" customHeight="1">
      <c r="A13" s="2301" t="s">
        <v>1374</v>
      </c>
      <c r="B13" s="2379"/>
      <c r="C13" s="2379"/>
      <c r="D13" s="2379"/>
      <c r="E13" s="2379"/>
      <c r="F13" s="2379"/>
    </row>
    <row r="14" spans="1:6" ht="12.75" customHeight="1">
      <c r="A14" s="876"/>
      <c r="B14" s="58"/>
      <c r="C14" s="58"/>
      <c r="D14" s="58"/>
      <c r="E14" s="58"/>
      <c r="F14" s="58"/>
    </row>
    <row r="15" spans="1:6" ht="12.75" customHeight="1">
      <c r="A15" s="2293" t="s">
        <v>1369</v>
      </c>
      <c r="B15" s="2380"/>
      <c r="C15" s="2380"/>
      <c r="D15" s="2380"/>
      <c r="E15" s="2380"/>
      <c r="F15" s="2380"/>
    </row>
    <row r="16" spans="1:6" ht="12.75" customHeight="1">
      <c r="A16" s="2377" t="s">
        <v>1370</v>
      </c>
      <c r="B16" s="2378"/>
      <c r="C16" s="2378"/>
      <c r="D16" s="2378"/>
      <c r="E16" s="2378"/>
      <c r="F16" s="2378"/>
    </row>
    <row r="17" spans="1:6" ht="12.75" customHeight="1">
      <c r="A17" s="2377" t="s">
        <v>1373</v>
      </c>
      <c r="B17" s="2378"/>
      <c r="C17" s="2378"/>
      <c r="D17" s="2378"/>
      <c r="E17" s="2378"/>
      <c r="F17" s="2378"/>
    </row>
    <row r="18" spans="1:6" ht="12.75" customHeight="1">
      <c r="A18" s="2377" t="s">
        <v>1292</v>
      </c>
      <c r="B18" s="2378"/>
      <c r="C18" s="2378"/>
      <c r="D18" s="2378"/>
      <c r="E18" s="2378"/>
      <c r="F18" s="2378"/>
    </row>
    <row r="19" spans="1:6" ht="12.75" customHeight="1">
      <c r="A19" s="2377" t="s">
        <v>1293</v>
      </c>
      <c r="B19" s="2378"/>
      <c r="C19" s="2378"/>
      <c r="D19" s="2378"/>
      <c r="E19" s="2378"/>
      <c r="F19" s="2378"/>
    </row>
    <row r="20" spans="1:6" ht="12.75" customHeight="1">
      <c r="A20" s="876"/>
      <c r="B20" s="58"/>
      <c r="C20" s="58"/>
      <c r="D20" s="58"/>
      <c r="E20" s="58"/>
      <c r="F20" s="58"/>
    </row>
    <row r="21" spans="1:6" ht="12.75" customHeight="1">
      <c r="A21" s="2293" t="s">
        <v>73</v>
      </c>
      <c r="B21" s="2380"/>
      <c r="C21" s="2380"/>
      <c r="D21" s="2380"/>
      <c r="E21" s="2380"/>
      <c r="F21" s="2380"/>
    </row>
    <row r="22" spans="1:6" ht="12.75" customHeight="1">
      <c r="A22" s="2377" t="s">
        <v>1371</v>
      </c>
      <c r="B22" s="2378"/>
      <c r="C22" s="2378"/>
      <c r="D22" s="2378"/>
      <c r="E22" s="2378"/>
      <c r="F22" s="2378"/>
    </row>
    <row r="23" spans="1:6" ht="12.75" customHeight="1">
      <c r="A23" s="2377" t="s">
        <v>1372</v>
      </c>
      <c r="B23" s="2378"/>
      <c r="C23" s="2378"/>
      <c r="D23" s="2378"/>
      <c r="E23" s="2378"/>
      <c r="F23" s="2378"/>
    </row>
    <row r="27" spans="1:6" ht="15">
      <c r="C27" s="1267">
        <v>1</v>
      </c>
      <c r="D27" s="1267">
        <v>2</v>
      </c>
      <c r="E27" s="1267" t="s">
        <v>1307</v>
      </c>
      <c r="F27" s="542"/>
    </row>
    <row r="28" spans="1:6" ht="49.5" customHeight="1">
      <c r="B28" s="2298" t="s">
        <v>1168</v>
      </c>
      <c r="C28" s="2299"/>
      <c r="D28" s="2300"/>
      <c r="E28" s="1267"/>
      <c r="F28" s="172"/>
    </row>
    <row r="29" spans="1:6" ht="15">
      <c r="B29" s="820"/>
      <c r="C29" s="2297" t="s">
        <v>2473</v>
      </c>
      <c r="D29" s="2297"/>
      <c r="E29" s="1267"/>
      <c r="F29" s="541"/>
    </row>
    <row r="30" spans="1:6" ht="25.5">
      <c r="B30" s="139" t="s">
        <v>1167</v>
      </c>
      <c r="C30" s="820" t="s">
        <v>1474</v>
      </c>
      <c r="D30" s="820" t="s">
        <v>1475</v>
      </c>
      <c r="E30" s="1267" t="s">
        <v>1994</v>
      </c>
      <c r="F30" s="1267" t="s">
        <v>1995</v>
      </c>
    </row>
    <row r="31" spans="1:6">
      <c r="B31" s="140" t="s">
        <v>1915</v>
      </c>
      <c r="C31" s="1269">
        <f>SUM(C32:C34)</f>
        <v>72.039999999999992</v>
      </c>
      <c r="D31" s="1269">
        <f>SUM(D32:D34)</f>
        <v>89.960000000000008</v>
      </c>
      <c r="E31" s="1267" t="s">
        <v>1852</v>
      </c>
      <c r="F31" s="1268" t="s">
        <v>1571</v>
      </c>
    </row>
    <row r="32" spans="1:6">
      <c r="B32" s="841" t="s">
        <v>714</v>
      </c>
      <c r="C32" s="840">
        <v>17.850000000000001</v>
      </c>
      <c r="D32" s="840">
        <v>27.25</v>
      </c>
      <c r="E32" s="1267" t="s">
        <v>1852</v>
      </c>
      <c r="F32" s="1268" t="s">
        <v>1913</v>
      </c>
    </row>
    <row r="33" spans="2:6">
      <c r="B33" s="841" t="s">
        <v>715</v>
      </c>
      <c r="C33" s="840">
        <v>4</v>
      </c>
      <c r="D33" s="840">
        <v>8.83</v>
      </c>
      <c r="E33" s="1267" t="s">
        <v>1852</v>
      </c>
      <c r="F33" s="1268" t="s">
        <v>936</v>
      </c>
    </row>
    <row r="34" spans="2:6">
      <c r="B34" s="841" t="s">
        <v>670</v>
      </c>
      <c r="C34" s="840">
        <v>50.19</v>
      </c>
      <c r="D34" s="840">
        <v>53.88</v>
      </c>
      <c r="E34" s="1267" t="s">
        <v>1852</v>
      </c>
      <c r="F34" s="1268" t="s">
        <v>1996</v>
      </c>
    </row>
    <row r="35" spans="2:6">
      <c r="B35" s="141" t="s">
        <v>673</v>
      </c>
      <c r="C35" s="1269">
        <f>SUM(C36:C38)</f>
        <v>62.43</v>
      </c>
      <c r="D35" s="1269">
        <f>SUM(D36:D38)</f>
        <v>135.41</v>
      </c>
      <c r="E35" s="1267" t="s">
        <v>1249</v>
      </c>
      <c r="F35" s="1268" t="s">
        <v>1571</v>
      </c>
    </row>
    <row r="36" spans="2:6">
      <c r="B36" s="841" t="s">
        <v>714</v>
      </c>
      <c r="C36" s="840">
        <v>7</v>
      </c>
      <c r="D36" s="840">
        <v>3.88</v>
      </c>
      <c r="E36" s="1267" t="s">
        <v>1249</v>
      </c>
      <c r="F36" s="1268" t="s">
        <v>1913</v>
      </c>
    </row>
    <row r="37" spans="2:6">
      <c r="B37" s="841" t="s">
        <v>715</v>
      </c>
      <c r="C37" s="840">
        <v>11.42</v>
      </c>
      <c r="D37" s="840">
        <v>3.8</v>
      </c>
      <c r="E37" s="1267" t="s">
        <v>1249</v>
      </c>
      <c r="F37" s="1268" t="s">
        <v>936</v>
      </c>
    </row>
    <row r="38" spans="2:6">
      <c r="B38" s="841" t="s">
        <v>670</v>
      </c>
      <c r="C38" s="840">
        <v>44.01</v>
      </c>
      <c r="D38" s="840">
        <v>127.73</v>
      </c>
      <c r="E38" s="1267" t="s">
        <v>1249</v>
      </c>
      <c r="F38" s="1268" t="s">
        <v>1996</v>
      </c>
    </row>
    <row r="39" spans="2:6">
      <c r="B39" s="142" t="s">
        <v>1250</v>
      </c>
      <c r="C39" s="1269">
        <f>SUM(C40:C42)</f>
        <v>23.15</v>
      </c>
      <c r="D39" s="1269">
        <f>SUM(D40:D42)</f>
        <v>27.05</v>
      </c>
      <c r="E39" s="1267" t="s">
        <v>375</v>
      </c>
      <c r="F39" s="1268" t="s">
        <v>1571</v>
      </c>
    </row>
    <row r="40" spans="2:6">
      <c r="B40" s="841" t="s">
        <v>714</v>
      </c>
      <c r="C40" s="840">
        <v>10.130000000000001</v>
      </c>
      <c r="D40" s="840">
        <v>5.25</v>
      </c>
      <c r="E40" s="1267" t="s">
        <v>375</v>
      </c>
      <c r="F40" s="1268" t="s">
        <v>1913</v>
      </c>
    </row>
    <row r="41" spans="2:6">
      <c r="B41" s="841" t="s">
        <v>715</v>
      </c>
      <c r="C41" s="840">
        <v>12.02</v>
      </c>
      <c r="D41" s="840">
        <v>20.8</v>
      </c>
      <c r="E41" s="1267" t="s">
        <v>375</v>
      </c>
      <c r="F41" s="1268" t="s">
        <v>936</v>
      </c>
    </row>
    <row r="42" spans="2:6">
      <c r="B42" s="841" t="s">
        <v>670</v>
      </c>
      <c r="C42" s="840">
        <v>1</v>
      </c>
      <c r="D42" s="840">
        <v>1</v>
      </c>
      <c r="E42" s="1267" t="s">
        <v>375</v>
      </c>
      <c r="F42" s="1268" t="s">
        <v>1996</v>
      </c>
    </row>
    <row r="43" spans="2:6">
      <c r="B43" s="141" t="s">
        <v>376</v>
      </c>
      <c r="C43" s="1269">
        <f>SUM(C44:C46)</f>
        <v>11.7</v>
      </c>
      <c r="D43" s="1269">
        <f>SUM(D44:D46)</f>
        <v>12.83</v>
      </c>
      <c r="E43" s="1267" t="s">
        <v>1194</v>
      </c>
      <c r="F43" s="1268" t="s">
        <v>1571</v>
      </c>
    </row>
    <row r="44" spans="2:6">
      <c r="B44" s="841" t="s">
        <v>714</v>
      </c>
      <c r="C44" s="840">
        <v>0</v>
      </c>
      <c r="D44" s="840">
        <v>0</v>
      </c>
      <c r="E44" s="1267" t="s">
        <v>1194</v>
      </c>
      <c r="F44" s="1268" t="s">
        <v>1913</v>
      </c>
    </row>
    <row r="45" spans="2:6">
      <c r="B45" s="841" t="s">
        <v>715</v>
      </c>
      <c r="C45" s="840">
        <v>11.7</v>
      </c>
      <c r="D45" s="840">
        <v>11.83</v>
      </c>
      <c r="E45" s="1267" t="s">
        <v>1194</v>
      </c>
      <c r="F45" s="1268" t="s">
        <v>936</v>
      </c>
    </row>
    <row r="46" spans="2:6">
      <c r="B46" s="841" t="s">
        <v>670</v>
      </c>
      <c r="C46" s="840">
        <v>0</v>
      </c>
      <c r="D46" s="840">
        <v>1</v>
      </c>
      <c r="E46" s="1267" t="s">
        <v>1194</v>
      </c>
      <c r="F46" s="1268" t="s">
        <v>1996</v>
      </c>
    </row>
    <row r="47" spans="2:6">
      <c r="B47" s="141" t="s">
        <v>1195</v>
      </c>
      <c r="C47" s="1269">
        <f>SUM(C48:C50)</f>
        <v>0</v>
      </c>
      <c r="D47" s="1269">
        <f>SUM(D48:D50)</f>
        <v>147.31</v>
      </c>
      <c r="E47" s="1267" t="s">
        <v>1573</v>
      </c>
      <c r="F47" s="1268" t="s">
        <v>1571</v>
      </c>
    </row>
    <row r="48" spans="2:6">
      <c r="B48" s="841" t="s">
        <v>714</v>
      </c>
      <c r="C48" s="840">
        <v>0</v>
      </c>
      <c r="D48" s="840">
        <v>14.68</v>
      </c>
      <c r="E48" s="1267" t="s">
        <v>1573</v>
      </c>
      <c r="F48" s="1268" t="s">
        <v>1913</v>
      </c>
    </row>
    <row r="49" spans="2:6">
      <c r="B49" s="841" t="s">
        <v>715</v>
      </c>
      <c r="C49" s="840">
        <v>0</v>
      </c>
      <c r="D49" s="840">
        <v>0</v>
      </c>
      <c r="E49" s="1267" t="s">
        <v>1573</v>
      </c>
      <c r="F49" s="1268" t="s">
        <v>936</v>
      </c>
    </row>
    <row r="50" spans="2:6">
      <c r="B50" s="841" t="s">
        <v>670</v>
      </c>
      <c r="C50" s="840">
        <v>0</v>
      </c>
      <c r="D50" s="840">
        <v>132.63</v>
      </c>
      <c r="E50" s="1267" t="s">
        <v>1573</v>
      </c>
      <c r="F50" s="1268" t="s">
        <v>1996</v>
      </c>
    </row>
    <row r="51" spans="2:6">
      <c r="B51" s="143" t="s">
        <v>1574</v>
      </c>
      <c r="C51" s="1269">
        <f>SUM(C52:C54)</f>
        <v>1.33</v>
      </c>
      <c r="D51" s="1269">
        <f>SUM(D52:D54)</f>
        <v>80.349999999999994</v>
      </c>
      <c r="E51" s="1267" t="s">
        <v>2126</v>
      </c>
      <c r="F51" s="1268" t="s">
        <v>1571</v>
      </c>
    </row>
    <row r="52" spans="2:6">
      <c r="B52" s="841" t="s">
        <v>714</v>
      </c>
      <c r="C52" s="840">
        <v>1.33</v>
      </c>
      <c r="D52" s="840">
        <v>4.6900000000000004</v>
      </c>
      <c r="E52" s="1267" t="s">
        <v>2126</v>
      </c>
      <c r="F52" s="1268" t="s">
        <v>1913</v>
      </c>
    </row>
    <row r="53" spans="2:6">
      <c r="B53" s="841" t="s">
        <v>715</v>
      </c>
      <c r="C53" s="840">
        <v>0</v>
      </c>
      <c r="D53" s="840">
        <v>0</v>
      </c>
      <c r="E53" s="1267" t="s">
        <v>2126</v>
      </c>
      <c r="F53" s="1268" t="s">
        <v>936</v>
      </c>
    </row>
    <row r="54" spans="2:6">
      <c r="B54" s="841" t="s">
        <v>670</v>
      </c>
      <c r="C54" s="840">
        <v>0</v>
      </c>
      <c r="D54" s="840">
        <v>75.66</v>
      </c>
      <c r="E54" s="1267" t="s">
        <v>2126</v>
      </c>
      <c r="F54" s="1268" t="s">
        <v>1996</v>
      </c>
    </row>
    <row r="55" spans="2:6">
      <c r="B55" s="143" t="s">
        <v>2127</v>
      </c>
      <c r="C55" s="1269">
        <f>SUM(C56:C58)</f>
        <v>1</v>
      </c>
      <c r="D55" s="1269">
        <f>SUM(D56:D58)</f>
        <v>0</v>
      </c>
      <c r="E55" s="1267" t="s">
        <v>1649</v>
      </c>
      <c r="F55" s="1268" t="s">
        <v>1571</v>
      </c>
    </row>
    <row r="56" spans="2:6">
      <c r="B56" s="841" t="s">
        <v>714</v>
      </c>
      <c r="C56" s="840">
        <v>1</v>
      </c>
      <c r="D56" s="840">
        <v>0</v>
      </c>
      <c r="E56" s="1267" t="s">
        <v>1649</v>
      </c>
      <c r="F56" s="1268" t="s">
        <v>1913</v>
      </c>
    </row>
    <row r="57" spans="2:6">
      <c r="B57" s="841" t="s">
        <v>715</v>
      </c>
      <c r="C57" s="840">
        <v>0</v>
      </c>
      <c r="D57" s="840">
        <v>0</v>
      </c>
      <c r="E57" s="1267" t="s">
        <v>1649</v>
      </c>
      <c r="F57" s="1268" t="s">
        <v>936</v>
      </c>
    </row>
    <row r="58" spans="2:6">
      <c r="B58" s="841" t="s">
        <v>670</v>
      </c>
      <c r="C58" s="840">
        <v>0</v>
      </c>
      <c r="D58" s="840">
        <v>0</v>
      </c>
      <c r="E58" s="1267" t="s">
        <v>1649</v>
      </c>
      <c r="F58" s="1268" t="s">
        <v>1996</v>
      </c>
    </row>
    <row r="59" spans="2:6">
      <c r="B59" s="143" t="s">
        <v>1650</v>
      </c>
      <c r="C59" s="1269">
        <f>SUM(C60:C62)</f>
        <v>0</v>
      </c>
      <c r="D59" s="1269">
        <f>SUM(D60:D62)</f>
        <v>0</v>
      </c>
      <c r="E59" s="1267" t="s">
        <v>316</v>
      </c>
      <c r="F59" s="1268" t="s">
        <v>1571</v>
      </c>
    </row>
    <row r="60" spans="2:6">
      <c r="B60" s="841" t="s">
        <v>714</v>
      </c>
      <c r="C60" s="840">
        <v>0</v>
      </c>
      <c r="D60" s="840">
        <v>0</v>
      </c>
      <c r="E60" s="1267" t="s">
        <v>316</v>
      </c>
      <c r="F60" s="1268" t="s">
        <v>1913</v>
      </c>
    </row>
    <row r="61" spans="2:6">
      <c r="B61" s="841" t="s">
        <v>715</v>
      </c>
      <c r="C61" s="840">
        <v>0</v>
      </c>
      <c r="D61" s="840">
        <v>0</v>
      </c>
      <c r="E61" s="1267" t="s">
        <v>316</v>
      </c>
      <c r="F61" s="1268" t="s">
        <v>936</v>
      </c>
    </row>
    <row r="62" spans="2:6">
      <c r="B62" s="841" t="s">
        <v>670</v>
      </c>
      <c r="C62" s="840">
        <v>0</v>
      </c>
      <c r="D62" s="840">
        <v>0</v>
      </c>
      <c r="E62" s="1267" t="s">
        <v>316</v>
      </c>
      <c r="F62" s="1268" t="s">
        <v>1996</v>
      </c>
    </row>
    <row r="63" spans="2:6">
      <c r="B63" s="144" t="s">
        <v>2192</v>
      </c>
      <c r="C63" s="1269">
        <f>SUM(C64:C66)</f>
        <v>0</v>
      </c>
      <c r="D63" s="1269">
        <f>SUM(D64:D66)</f>
        <v>0</v>
      </c>
      <c r="E63" s="1267" t="s">
        <v>1081</v>
      </c>
      <c r="F63" s="1268" t="s">
        <v>1571</v>
      </c>
    </row>
    <row r="64" spans="2:6">
      <c r="B64" s="841" t="s">
        <v>714</v>
      </c>
      <c r="C64" s="840">
        <v>0</v>
      </c>
      <c r="D64" s="840">
        <v>0</v>
      </c>
      <c r="E64" s="1267" t="s">
        <v>1081</v>
      </c>
      <c r="F64" s="1268" t="s">
        <v>1913</v>
      </c>
    </row>
    <row r="65" spans="2:6">
      <c r="B65" s="841" t="s">
        <v>715</v>
      </c>
      <c r="C65" s="840">
        <v>0</v>
      </c>
      <c r="D65" s="840">
        <v>0</v>
      </c>
      <c r="E65" s="1267" t="s">
        <v>1081</v>
      </c>
      <c r="F65" s="1268" t="s">
        <v>936</v>
      </c>
    </row>
    <row r="66" spans="2:6">
      <c r="B66" s="841" t="s">
        <v>670</v>
      </c>
      <c r="C66" s="840">
        <v>0</v>
      </c>
      <c r="D66" s="840">
        <v>0</v>
      </c>
      <c r="E66" s="1267" t="s">
        <v>1081</v>
      </c>
      <c r="F66" s="1268" t="s">
        <v>1996</v>
      </c>
    </row>
    <row r="67" spans="2:6">
      <c r="B67" s="144" t="s">
        <v>1082</v>
      </c>
      <c r="C67" s="1269">
        <f>SUM(C68:C69)</f>
        <v>10.130000000000001</v>
      </c>
      <c r="D67" s="1269">
        <f>SUM(D68:D69)</f>
        <v>25.990000000000002</v>
      </c>
      <c r="E67" s="1267" t="s">
        <v>694</v>
      </c>
      <c r="F67" s="1268" t="s">
        <v>1571</v>
      </c>
    </row>
    <row r="68" spans="2:6">
      <c r="B68" s="1087" t="s">
        <v>715</v>
      </c>
      <c r="C68" s="840">
        <v>0.38</v>
      </c>
      <c r="D68" s="840">
        <v>3.12</v>
      </c>
      <c r="E68" s="1267" t="s">
        <v>694</v>
      </c>
      <c r="F68" s="1268" t="s">
        <v>936</v>
      </c>
    </row>
    <row r="69" spans="2:6">
      <c r="B69" s="841" t="s">
        <v>670</v>
      </c>
      <c r="C69" s="840">
        <v>9.75</v>
      </c>
      <c r="D69" s="840">
        <v>22.87</v>
      </c>
      <c r="E69" s="1267" t="s">
        <v>694</v>
      </c>
      <c r="F69" s="1268" t="s">
        <v>1996</v>
      </c>
    </row>
    <row r="71" spans="2:6">
      <c r="B71" s="473" t="s">
        <v>696</v>
      </c>
      <c r="C71" s="474">
        <f>C31+C35+C39+C43+C47+C51+C55+C59+C63+C67</f>
        <v>181.78</v>
      </c>
      <c r="D71" s="474">
        <f>D31+D35+D39+D43+D47+D51+D55+D59+D63+D67</f>
        <v>518.9</v>
      </c>
      <c r="E71" s="1268" t="s">
        <v>697</v>
      </c>
      <c r="F71" s="1268" t="s">
        <v>1571</v>
      </c>
    </row>
  </sheetData>
  <sheetProtection algorithmName="SHA-512" hashValue="JhIUSzrOQWnx8aKN41lxga0Kqo/0Bez/GraV4R34ORBs0QSiRH7wGbXdQPX/8BLOo3PcFXo0WjlMArTArlUMgg==" saltValue="23YM31dgsdmz4yHCjBxmPg==" spinCount="100000" sheet="1" objects="1" scenarios="1"/>
  <mergeCells count="19">
    <mergeCell ref="A10:F10"/>
    <mergeCell ref="A11:F11"/>
    <mergeCell ref="A17:F17"/>
    <mergeCell ref="A3:F3"/>
    <mergeCell ref="A5:F5"/>
    <mergeCell ref="A9:F9"/>
    <mergeCell ref="A6:F6"/>
    <mergeCell ref="A7:F7"/>
    <mergeCell ref="A15:F15"/>
    <mergeCell ref="A16:F16"/>
    <mergeCell ref="A18:F18"/>
    <mergeCell ref="A19:F19"/>
    <mergeCell ref="A12:F12"/>
    <mergeCell ref="A13:F13"/>
    <mergeCell ref="C29:D29"/>
    <mergeCell ref="B28:D28"/>
    <mergeCell ref="A22:F22"/>
    <mergeCell ref="A23:F23"/>
    <mergeCell ref="A21:F21"/>
  </mergeCells>
  <dataValidations count="2">
    <dataValidation type="decimal" allowBlank="1" showInputMessage="1" showErrorMessage="1" errorTitle="Erreur de saisie" error="Vous devez saisir une valeur décimale" sqref="C32:D34 C36:D38 C40:D42 C44:D46 C48:D50 C52:D54 C56:D58 C60:D62 C64:D66 C69:D69">
      <formula1>0</formula1>
      <formula2>999999999999</formula2>
    </dataValidation>
    <dataValidation type="whole" allowBlank="1" showInputMessage="1" showErrorMessage="1" errorTitle="Erreur de saisie" error="Vous devez saisir une valeur entière" sqref="D32 C33:D34 C36:D38 C40:D42 C44:D46 C48:D50 C52:D54 C56:D58 C60:D62 C64:D66 C69:D69">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74" orientation="portrait" r:id="rId1"/>
  <headerFooter alignWithMargins="0">
    <oddFooter>&amp;LRSU 2020 - Présentation au CTP&amp;R&amp;P/&amp;N
&amp;A</oddFooter>
  </headerFooter>
</worksheet>
</file>

<file path=xl/worksheets/sheet28.xml><?xml version="1.0" encoding="utf-8"?>
<worksheet xmlns="http://schemas.openxmlformats.org/spreadsheetml/2006/main" xmlns:r="http://schemas.openxmlformats.org/officeDocument/2006/relationships">
  <sheetPr codeName="Feuil84">
    <pageSetUpPr fitToPage="1"/>
  </sheetPr>
  <dimension ref="A1:IV81"/>
  <sheetViews>
    <sheetView showGridLines="0" topLeftCell="B1" zoomScaleNormal="100" workbookViewId="0"/>
  </sheetViews>
  <sheetFormatPr baseColWidth="10" defaultColWidth="10.85546875" defaultRowHeight="12.75"/>
  <cols>
    <col min="1" max="7" width="10.85546875" style="1093" customWidth="1"/>
    <col min="8" max="8" width="14.42578125" style="1093" customWidth="1"/>
    <col min="9" max="16384" width="10.85546875" style="1093"/>
  </cols>
  <sheetData>
    <row r="1" spans="1:10" customFormat="1" ht="17.100000000000001" customHeight="1">
      <c r="A1" s="9"/>
      <c r="B1" s="1170"/>
      <c r="C1" s="1170"/>
      <c r="D1" s="1170"/>
      <c r="E1" s="2245" t="s">
        <v>958</v>
      </c>
      <c r="F1" s="2245"/>
      <c r="G1" s="1"/>
      <c r="H1" s="1"/>
      <c r="I1" s="21"/>
    </row>
    <row r="2" spans="1:10" customFormat="1" ht="13.5" thickBot="1"/>
    <row r="3" spans="1:10" ht="13.5" thickBot="1">
      <c r="A3" s="2386" t="s">
        <v>467</v>
      </c>
      <c r="B3" s="2386"/>
      <c r="C3" s="2386"/>
      <c r="D3" s="2386"/>
      <c r="E3" s="2386"/>
      <c r="F3" s="2386"/>
      <c r="G3" s="2386"/>
      <c r="H3" s="2386"/>
      <c r="I3" s="1097"/>
      <c r="J3" s="1097"/>
    </row>
    <row r="4" spans="1:10" customFormat="1"/>
    <row r="5" spans="1:10" s="1096" customFormat="1" ht="24.75" customHeight="1">
      <c r="A5" s="2387" t="s">
        <v>468</v>
      </c>
      <c r="B5" s="2387"/>
      <c r="C5" s="2387"/>
      <c r="D5" s="2387"/>
      <c r="E5" s="2387"/>
      <c r="F5" s="2387"/>
      <c r="G5" s="2387"/>
      <c r="H5" s="2387"/>
      <c r="I5" s="1163"/>
      <c r="J5" s="1163"/>
    </row>
    <row r="6" spans="1:10" s="1096" customFormat="1" ht="24.75" customHeight="1">
      <c r="A6" s="2387" t="s">
        <v>469</v>
      </c>
      <c r="B6" s="2387"/>
      <c r="C6" s="2387"/>
      <c r="D6" s="2387"/>
      <c r="E6" s="2387"/>
      <c r="F6" s="2387"/>
      <c r="G6" s="2387"/>
      <c r="H6" s="2387"/>
      <c r="I6" s="1163"/>
      <c r="J6" s="1163"/>
    </row>
    <row r="7" spans="1:10" s="1096" customFormat="1" ht="12.75" customHeight="1">
      <c r="A7" s="2244" t="s">
        <v>470</v>
      </c>
      <c r="B7" s="2244"/>
      <c r="C7" s="2244"/>
      <c r="D7" s="2244"/>
      <c r="E7" s="2244"/>
      <c r="F7" s="2244"/>
      <c r="G7" s="2244"/>
      <c r="H7" s="2244"/>
    </row>
    <row r="8" spans="1:10" customFormat="1" ht="12.75" customHeight="1"/>
    <row r="9" spans="1:10" customFormat="1" ht="12.75" customHeight="1"/>
    <row r="10" spans="1:10" s="1095" customFormat="1" ht="12.75" customHeight="1">
      <c r="A10" s="2244" t="s">
        <v>471</v>
      </c>
      <c r="B10" s="2244"/>
      <c r="C10" s="2244"/>
      <c r="D10" s="2244"/>
      <c r="E10" s="2244"/>
      <c r="F10" s="2244"/>
      <c r="G10" s="2244"/>
      <c r="H10" s="1096"/>
      <c r="I10" s="1096"/>
      <c r="J10" s="1096"/>
    </row>
    <row r="11" spans="1:10" customFormat="1"/>
    <row r="12" spans="1:10" s="1096" customFormat="1" ht="12.75" customHeight="1">
      <c r="A12" s="2239" t="s">
        <v>472</v>
      </c>
      <c r="B12" s="2239"/>
      <c r="C12" s="2239"/>
      <c r="D12" s="2239"/>
      <c r="E12" s="2239"/>
      <c r="F12" s="2239"/>
      <c r="G12" s="2239"/>
    </row>
    <row r="13" spans="1:10" customFormat="1" ht="12.75" customHeight="1"/>
    <row r="14" spans="1:10" s="1096" customFormat="1" ht="13.5" customHeight="1">
      <c r="A14" s="2239" t="s">
        <v>473</v>
      </c>
      <c r="B14" s="2239"/>
      <c r="C14" s="2239"/>
      <c r="D14" s="2239"/>
      <c r="E14" s="2239"/>
      <c r="F14" s="2239"/>
      <c r="G14" s="2239"/>
      <c r="H14" s="1164"/>
    </row>
    <row r="15" spans="1:10" customFormat="1" ht="10.5" customHeight="1"/>
    <row r="16" spans="1:10" s="1096" customFormat="1" ht="12.75" customHeight="1">
      <c r="A16" s="2240" t="s">
        <v>2586</v>
      </c>
      <c r="B16" s="2240"/>
      <c r="C16" s="2240"/>
      <c r="D16" s="2240"/>
      <c r="E16" s="2240"/>
      <c r="F16" s="2240"/>
      <c r="G16" s="2240"/>
    </row>
    <row r="17" spans="1:10" customFormat="1" ht="11.25" customHeight="1"/>
    <row r="18" spans="1:10" s="1096" customFormat="1" ht="12.75" customHeight="1">
      <c r="A18" s="2239" t="s">
        <v>2474</v>
      </c>
      <c r="B18" s="2239"/>
      <c r="C18" s="2239"/>
      <c r="D18" s="2239"/>
      <c r="E18" s="2239"/>
      <c r="F18" s="2239"/>
      <c r="G18" s="2239"/>
      <c r="H18" s="2239"/>
    </row>
    <row r="19" spans="1:10" customFormat="1" ht="11.25" customHeight="1"/>
    <row r="20" spans="1:10" s="1172" customFormat="1" ht="12.75" customHeight="1">
      <c r="A20" s="2364" t="s">
        <v>474</v>
      </c>
      <c r="B20" s="2364"/>
      <c r="C20" s="2364"/>
      <c r="D20" s="2364"/>
      <c r="E20" s="2364"/>
      <c r="F20" s="2364"/>
      <c r="G20" s="2364"/>
      <c r="H20" s="2364"/>
      <c r="I20" s="1171"/>
    </row>
    <row r="21" spans="1:10" s="1172" customFormat="1" ht="25.5" customHeight="1">
      <c r="A21" s="2385" t="s">
        <v>475</v>
      </c>
      <c r="B21" s="2384"/>
      <c r="C21" s="2384"/>
      <c r="D21" s="2384"/>
      <c r="E21" s="2384"/>
      <c r="F21" s="2384"/>
      <c r="G21" s="2384"/>
      <c r="H21" s="2384"/>
    </row>
    <row r="22" spans="1:10" s="1172" customFormat="1" ht="38.25" customHeight="1">
      <c r="A22" s="2383" t="s">
        <v>2475</v>
      </c>
      <c r="B22" s="2384"/>
      <c r="C22" s="2384"/>
      <c r="D22" s="2384"/>
      <c r="E22" s="2384"/>
      <c r="F22" s="2384"/>
      <c r="G22" s="2384"/>
      <c r="H22" s="2384"/>
    </row>
    <row r="23" spans="1:10" s="1173" customFormat="1" ht="38.25" customHeight="1">
      <c r="A23" s="2385" t="s">
        <v>2476</v>
      </c>
      <c r="B23" s="2384"/>
      <c r="C23" s="2384"/>
      <c r="D23" s="2384"/>
      <c r="E23" s="2384"/>
      <c r="F23" s="2384"/>
      <c r="G23" s="2384"/>
      <c r="H23" s="2384"/>
    </row>
    <row r="24" spans="1:10" customFormat="1"/>
    <row r="25" spans="1:10" customFormat="1"/>
    <row r="26" spans="1:10" s="1095" customFormat="1" ht="12.75" customHeight="1">
      <c r="A26" s="2244" t="s">
        <v>960</v>
      </c>
      <c r="B26" s="2244"/>
      <c r="C26" s="2244"/>
      <c r="D26" s="2244"/>
      <c r="E26" s="2244"/>
      <c r="F26" s="2244"/>
      <c r="G26" s="2244"/>
      <c r="H26" s="1096"/>
      <c r="I26" s="1096"/>
      <c r="J26" s="1096"/>
    </row>
    <row r="27" spans="1:10" customFormat="1"/>
    <row r="28" spans="1:10" s="1095" customFormat="1" ht="12.75" customHeight="1">
      <c r="A28" s="2239" t="s">
        <v>476</v>
      </c>
      <c r="B28" s="2239"/>
      <c r="C28" s="2239"/>
      <c r="D28" s="2239"/>
      <c r="E28" s="2239"/>
      <c r="F28" s="2239"/>
      <c r="G28" s="2239"/>
      <c r="H28" s="1096"/>
      <c r="I28" s="1096"/>
      <c r="J28" s="1096"/>
    </row>
    <row r="29" spans="1:10" s="1174" customFormat="1" ht="12.75" customHeight="1">
      <c r="A29" s="2324" t="s">
        <v>477</v>
      </c>
      <c r="B29" s="2325"/>
      <c r="C29" s="2325"/>
      <c r="D29" s="2325"/>
      <c r="E29" s="2325"/>
      <c r="F29" s="2325"/>
      <c r="G29" s="2325"/>
      <c r="H29" s="2325"/>
    </row>
    <row r="30" spans="1:10" s="1095" customFormat="1" ht="12.75" customHeight="1">
      <c r="A30" s="2324" t="s">
        <v>478</v>
      </c>
      <c r="B30" s="2325"/>
      <c r="C30" s="2325"/>
      <c r="D30" s="2325"/>
      <c r="E30" s="2325"/>
      <c r="F30" s="2325"/>
      <c r="G30" s="2325"/>
      <c r="H30" s="2325"/>
      <c r="I30" s="1096"/>
      <c r="J30" s="1096"/>
    </row>
    <row r="31" spans="1:10" s="1095" customFormat="1" ht="38.25" customHeight="1">
      <c r="A31" s="2324" t="s">
        <v>479</v>
      </c>
      <c r="B31" s="2325"/>
      <c r="C31" s="2325"/>
      <c r="D31" s="2325"/>
      <c r="E31" s="2325"/>
      <c r="F31" s="2325"/>
      <c r="G31" s="2325"/>
      <c r="H31" s="2325"/>
      <c r="I31" s="1096"/>
      <c r="J31" s="1096"/>
    </row>
    <row r="32" spans="1:10" s="1095" customFormat="1" ht="25.5" customHeight="1">
      <c r="A32" s="2324" t="s">
        <v>480</v>
      </c>
      <c r="B32" s="2325"/>
      <c r="C32" s="2325"/>
      <c r="D32" s="2325"/>
      <c r="E32" s="2325"/>
      <c r="F32" s="2325"/>
      <c r="G32" s="2325"/>
      <c r="H32" s="2325"/>
      <c r="I32" s="1096"/>
      <c r="J32" s="1096"/>
    </row>
    <row r="33" spans="1:10" s="1095" customFormat="1" ht="25.5" customHeight="1">
      <c r="A33" s="2324" t="s">
        <v>481</v>
      </c>
      <c r="B33" s="2325"/>
      <c r="C33" s="2325"/>
      <c r="D33" s="2325"/>
      <c r="E33" s="2325"/>
      <c r="F33" s="2325"/>
      <c r="G33" s="2325"/>
      <c r="H33" s="2325"/>
      <c r="I33" s="1096"/>
      <c r="J33" s="1096"/>
    </row>
    <row r="34" spans="1:10" s="1096" customFormat="1" ht="12.75" customHeight="1">
      <c r="A34" s="2324" t="s">
        <v>482</v>
      </c>
      <c r="B34" s="2325"/>
      <c r="C34" s="2325"/>
      <c r="D34" s="2325"/>
      <c r="E34" s="2325"/>
      <c r="F34" s="2325"/>
      <c r="G34" s="2325"/>
      <c r="H34" s="2325"/>
    </row>
    <row r="35" spans="1:10" s="1096" customFormat="1" ht="30.95" customHeight="1">
      <c r="A35" s="2390" t="s">
        <v>483</v>
      </c>
      <c r="B35" s="2391"/>
      <c r="C35" s="2391"/>
      <c r="D35" s="2391"/>
      <c r="E35" s="2391"/>
      <c r="F35" s="2391"/>
      <c r="G35" s="2391"/>
      <c r="H35" s="2391"/>
    </row>
    <row r="36" spans="1:10" s="1096" customFormat="1" ht="12.75" customHeight="1">
      <c r="A36" s="2390" t="s">
        <v>484</v>
      </c>
      <c r="B36" s="2391"/>
      <c r="C36" s="2391"/>
      <c r="D36" s="2391"/>
      <c r="E36" s="2391"/>
      <c r="F36" s="2391"/>
      <c r="G36" s="2391"/>
      <c r="H36" s="2391"/>
    </row>
    <row r="37" spans="1:10" s="1096" customFormat="1" ht="25.5" customHeight="1">
      <c r="A37" s="2324" t="s">
        <v>485</v>
      </c>
      <c r="B37" s="2325"/>
      <c r="C37" s="2325"/>
      <c r="D37" s="2325"/>
      <c r="E37" s="2325"/>
      <c r="F37" s="2325"/>
      <c r="G37" s="2325"/>
      <c r="H37" s="2325"/>
    </row>
    <row r="38" spans="1:10" s="1096" customFormat="1" ht="12.75" customHeight="1">
      <c r="A38" s="2390" t="s">
        <v>486</v>
      </c>
      <c r="B38" s="2391"/>
      <c r="C38" s="2391"/>
      <c r="D38" s="2391"/>
      <c r="E38" s="2391"/>
      <c r="F38" s="2391"/>
      <c r="G38" s="2391"/>
      <c r="H38" s="2391"/>
    </row>
    <row r="39" spans="1:10" s="1095" customFormat="1" ht="25.5" customHeight="1">
      <c r="A39" s="2392" t="s">
        <v>487</v>
      </c>
      <c r="B39" s="2393"/>
      <c r="C39" s="2393"/>
      <c r="D39" s="2393"/>
      <c r="E39" s="2393"/>
      <c r="F39" s="2393"/>
      <c r="G39" s="2393"/>
      <c r="H39" s="2393"/>
      <c r="I39" s="1171"/>
      <c r="J39" s="1096"/>
    </row>
    <row r="40" spans="1:10" customFormat="1"/>
    <row r="41" spans="1:10" s="1172" customFormat="1" ht="25.5" customHeight="1">
      <c r="A41" s="2238" t="s">
        <v>2592</v>
      </c>
      <c r="B41" s="2239"/>
      <c r="C41" s="2239"/>
      <c r="D41" s="2239"/>
      <c r="E41" s="2239"/>
      <c r="F41" s="2239"/>
      <c r="G41" s="2239"/>
      <c r="H41" s="2239"/>
    </row>
    <row r="42" spans="1:10" s="1096" customFormat="1" ht="12.75" customHeight="1">
      <c r="A42" s="2388" t="s">
        <v>488</v>
      </c>
      <c r="B42" s="2388"/>
      <c r="C42" s="2388"/>
      <c r="D42" s="2388"/>
      <c r="E42" s="2388"/>
      <c r="F42" s="2388"/>
      <c r="G42" s="2388"/>
      <c r="H42" s="2388"/>
    </row>
    <row r="43" spans="1:10" s="1096" customFormat="1" ht="12.75" customHeight="1">
      <c r="A43" s="2264" t="s">
        <v>2593</v>
      </c>
      <c r="B43" s="2259"/>
      <c r="C43" s="2259"/>
      <c r="D43" s="2259"/>
      <c r="E43" s="2259"/>
      <c r="F43" s="2259"/>
      <c r="G43" s="2259"/>
      <c r="H43" s="2259"/>
    </row>
    <row r="44" spans="1:10" s="1096" customFormat="1" ht="25.5" customHeight="1">
      <c r="A44" s="2264" t="s">
        <v>2477</v>
      </c>
      <c r="B44" s="2259"/>
      <c r="C44" s="2259"/>
      <c r="D44" s="2259"/>
      <c r="E44" s="2259"/>
      <c r="F44" s="2259"/>
      <c r="G44" s="2259"/>
      <c r="H44" s="2259"/>
    </row>
    <row r="45" spans="1:10" s="1096" customFormat="1" ht="12.75" customHeight="1">
      <c r="A45" s="2388" t="s">
        <v>2478</v>
      </c>
      <c r="B45" s="2388"/>
      <c r="C45" s="2388"/>
      <c r="D45" s="2388"/>
      <c r="E45" s="2388"/>
      <c r="F45" s="2388"/>
      <c r="G45" s="2388"/>
      <c r="H45" s="2388"/>
    </row>
    <row r="46" spans="1:10" customFormat="1" ht="12.75" customHeight="1"/>
    <row r="47" spans="1:10" customFormat="1"/>
    <row r="48" spans="1:10" s="1095" customFormat="1" ht="12.75" customHeight="1">
      <c r="A48" s="2389" t="s">
        <v>489</v>
      </c>
      <c r="B48" s="2389"/>
      <c r="C48" s="2389"/>
      <c r="D48" s="2389"/>
      <c r="E48" s="2389"/>
      <c r="F48" s="2389"/>
      <c r="G48" s="2389"/>
      <c r="H48" s="2389"/>
      <c r="I48" s="1096"/>
      <c r="J48" s="1096"/>
    </row>
    <row r="49" spans="1:10" customFormat="1" ht="12.75" customHeight="1"/>
    <row r="50" spans="1:10" s="1096" customFormat="1" ht="12.75" customHeight="1">
      <c r="A50" s="2394" t="s">
        <v>490</v>
      </c>
      <c r="B50" s="2394"/>
      <c r="C50" s="2394"/>
      <c r="D50" s="2394"/>
      <c r="E50" s="2394"/>
      <c r="F50" s="2394"/>
      <c r="G50" s="2394"/>
      <c r="H50" s="2394"/>
    </row>
    <row r="51" spans="1:10" customFormat="1" ht="12.75" customHeight="1"/>
    <row r="52" spans="1:10" s="1096" customFormat="1" ht="12.75" customHeight="1">
      <c r="A52" s="2394" t="s">
        <v>491</v>
      </c>
      <c r="B52" s="2394"/>
      <c r="C52" s="2394"/>
      <c r="D52" s="2394"/>
      <c r="E52" s="2394"/>
      <c r="F52" s="2394"/>
      <c r="G52" s="2394"/>
      <c r="H52" s="2394"/>
    </row>
    <row r="53" spans="1:10" customFormat="1" ht="12.75" customHeight="1"/>
    <row r="54" spans="1:10" s="1096" customFormat="1" ht="12.75" customHeight="1">
      <c r="A54" s="2394" t="s">
        <v>492</v>
      </c>
      <c r="B54" s="2394"/>
      <c r="C54" s="2394"/>
      <c r="D54" s="2394"/>
      <c r="E54" s="2394"/>
      <c r="F54" s="2394"/>
      <c r="G54" s="2394"/>
      <c r="H54" s="2394"/>
    </row>
    <row r="55" spans="1:10" customFormat="1" ht="12.75" customHeight="1"/>
    <row r="56" spans="1:10" s="1096" customFormat="1" ht="12.75" customHeight="1">
      <c r="A56" s="2240" t="s">
        <v>2594</v>
      </c>
      <c r="B56" s="2240"/>
      <c r="C56" s="2240"/>
      <c r="D56" s="2240"/>
      <c r="E56" s="2240"/>
      <c r="F56" s="2240"/>
      <c r="G56" s="2240"/>
    </row>
    <row r="57" spans="1:10" customFormat="1" ht="12.75" customHeight="1"/>
    <row r="58" spans="1:10" s="1095" customFormat="1" ht="12.75" customHeight="1">
      <c r="A58" s="2239" t="s">
        <v>2479</v>
      </c>
      <c r="B58" s="2239"/>
      <c r="C58" s="2239"/>
      <c r="D58" s="2239"/>
      <c r="E58" s="2239"/>
      <c r="F58" s="2239"/>
      <c r="G58" s="2239"/>
      <c r="H58" s="2239"/>
      <c r="I58" s="1096"/>
      <c r="J58" s="1096"/>
    </row>
    <row r="59" spans="1:10" customFormat="1"/>
    <row r="60" spans="1:10" customFormat="1"/>
    <row r="61" spans="1:10" s="1095" customFormat="1" ht="12.75" customHeight="1">
      <c r="A61" s="2244" t="s">
        <v>960</v>
      </c>
      <c r="B61" s="2244"/>
      <c r="C61" s="2244"/>
      <c r="D61" s="2244"/>
      <c r="E61" s="2244"/>
      <c r="F61" s="2244"/>
      <c r="G61" s="2244"/>
      <c r="H61" s="1104"/>
      <c r="I61" s="1096"/>
      <c r="J61" s="1096"/>
    </row>
    <row r="62" spans="1:10" customFormat="1"/>
    <row r="63" spans="1:10" s="1095" customFormat="1" ht="25.5" customHeight="1">
      <c r="A63" s="2239" t="s">
        <v>546</v>
      </c>
      <c r="B63" s="2239"/>
      <c r="C63" s="2239"/>
      <c r="D63" s="2239"/>
      <c r="E63" s="2239"/>
      <c r="F63" s="2239"/>
      <c r="G63" s="2239"/>
      <c r="H63" s="2239"/>
      <c r="I63" s="1096"/>
      <c r="J63" s="1096"/>
    </row>
    <row r="64" spans="1:10" s="1095" customFormat="1" ht="25.5" customHeight="1">
      <c r="A64" s="2324" t="s">
        <v>547</v>
      </c>
      <c r="B64" s="2325"/>
      <c r="C64" s="2325"/>
      <c r="D64" s="2325"/>
      <c r="E64" s="2325"/>
      <c r="F64" s="2325"/>
      <c r="G64" s="2325"/>
      <c r="H64" s="2325"/>
      <c r="I64" s="1096"/>
      <c r="J64" s="1096"/>
    </row>
    <row r="65" spans="1:256" s="1095" customFormat="1" ht="46.5" customHeight="1">
      <c r="A65" s="2390" t="s">
        <v>548</v>
      </c>
      <c r="B65" s="2391"/>
      <c r="C65" s="2391"/>
      <c r="D65" s="2391"/>
      <c r="E65" s="2391"/>
      <c r="F65" s="2391"/>
      <c r="G65" s="2391"/>
      <c r="H65" s="2391"/>
      <c r="I65" s="1096"/>
      <c r="J65" s="1096"/>
    </row>
    <row r="66" spans="1:256" customFormat="1"/>
    <row r="67" spans="1:256" s="1098" customFormat="1" ht="24.75" customHeight="1">
      <c r="A67" s="2239" t="s">
        <v>2595</v>
      </c>
      <c r="B67" s="2239"/>
      <c r="C67" s="2239"/>
      <c r="D67" s="2239"/>
      <c r="E67" s="2239"/>
      <c r="F67" s="2239"/>
      <c r="G67" s="2239"/>
      <c r="H67" s="2239"/>
      <c r="I67" s="1097"/>
      <c r="J67" s="1097"/>
      <c r="K67" s="1097"/>
      <c r="L67" s="1097"/>
      <c r="M67" s="1097"/>
      <c r="N67" s="1097"/>
      <c r="O67" s="1097"/>
      <c r="P67" s="1097"/>
      <c r="Q67" s="1097"/>
      <c r="R67" s="1097"/>
      <c r="S67" s="1097"/>
      <c r="T67" s="1097"/>
      <c r="U67" s="1097"/>
      <c r="V67" s="1097"/>
      <c r="W67" s="1097"/>
      <c r="X67" s="1097"/>
      <c r="Y67" s="1097"/>
      <c r="Z67" s="1097"/>
      <c r="AA67" s="1097"/>
      <c r="AB67" s="1097"/>
      <c r="AC67" s="1097"/>
      <c r="AD67" s="1097"/>
      <c r="AE67" s="1097"/>
      <c r="AF67" s="1097"/>
      <c r="AG67" s="1097"/>
      <c r="AH67" s="1097"/>
      <c r="AI67" s="1097"/>
      <c r="AJ67" s="1097"/>
      <c r="AK67" s="1097"/>
      <c r="AL67" s="1097"/>
      <c r="AM67" s="1097"/>
      <c r="AN67" s="1097"/>
      <c r="AO67" s="1097"/>
      <c r="AP67" s="1097"/>
      <c r="AQ67" s="1097"/>
      <c r="AR67" s="1097"/>
      <c r="AS67" s="1097"/>
      <c r="AT67" s="1097"/>
      <c r="AU67" s="1097"/>
      <c r="AV67" s="1097"/>
      <c r="AW67" s="1097"/>
      <c r="AX67" s="1097"/>
      <c r="AY67" s="1097"/>
      <c r="AZ67" s="1097"/>
      <c r="BA67" s="1097"/>
      <c r="BB67" s="1097"/>
      <c r="BC67" s="1097"/>
      <c r="BD67" s="1097"/>
      <c r="BE67" s="1097"/>
      <c r="BF67" s="1097"/>
      <c r="BG67" s="1097"/>
      <c r="BH67" s="1097"/>
      <c r="BI67" s="1097"/>
      <c r="BJ67" s="1097"/>
      <c r="BK67" s="1097"/>
      <c r="BL67" s="1097"/>
      <c r="BM67" s="1097"/>
      <c r="BN67" s="1097"/>
      <c r="BO67" s="1097"/>
      <c r="BP67" s="1097"/>
      <c r="BQ67" s="1097"/>
      <c r="BR67" s="1097"/>
      <c r="BS67" s="1097"/>
      <c r="BT67" s="1097"/>
      <c r="BU67" s="1097"/>
      <c r="BV67" s="1097"/>
      <c r="BW67" s="1097"/>
      <c r="BX67" s="1097"/>
      <c r="BY67" s="1097"/>
      <c r="BZ67" s="1097"/>
      <c r="CA67" s="1097"/>
      <c r="CB67" s="1097"/>
      <c r="CC67" s="1097"/>
      <c r="CD67" s="1097"/>
      <c r="CE67" s="1097"/>
      <c r="CF67" s="1097"/>
      <c r="CG67" s="1097"/>
      <c r="CH67" s="1097"/>
      <c r="CI67" s="1097"/>
      <c r="CJ67" s="1097"/>
      <c r="CK67" s="1097"/>
      <c r="CL67" s="1097"/>
      <c r="CM67" s="1097"/>
      <c r="CN67" s="1097"/>
      <c r="CO67" s="1097"/>
      <c r="CP67" s="1097"/>
      <c r="CQ67" s="1097"/>
      <c r="CR67" s="1097"/>
      <c r="CS67" s="1097"/>
      <c r="CT67" s="1097"/>
      <c r="CU67" s="1097"/>
      <c r="CV67" s="1097"/>
      <c r="CW67" s="1097"/>
      <c r="CX67" s="1097"/>
      <c r="CY67" s="1097"/>
      <c r="CZ67" s="1097"/>
      <c r="DA67" s="1097"/>
      <c r="DB67" s="1097"/>
      <c r="DC67" s="1097"/>
      <c r="DD67" s="1097"/>
      <c r="DE67" s="1097"/>
      <c r="DF67" s="1097"/>
      <c r="DG67" s="1097"/>
      <c r="DH67" s="1097"/>
      <c r="DI67" s="1097"/>
      <c r="DJ67" s="1097"/>
      <c r="DK67" s="1097"/>
      <c r="DL67" s="1097"/>
      <c r="DM67" s="1097"/>
      <c r="DN67" s="1097"/>
      <c r="DO67" s="1097"/>
      <c r="DP67" s="1097"/>
      <c r="DQ67" s="1097"/>
      <c r="DR67" s="1097"/>
      <c r="DS67" s="1097"/>
      <c r="DT67" s="1097"/>
      <c r="DU67" s="1097"/>
      <c r="DV67" s="1097"/>
      <c r="DW67" s="1097"/>
      <c r="DX67" s="1097"/>
      <c r="DY67" s="1097"/>
      <c r="DZ67" s="1097"/>
      <c r="EA67" s="1097"/>
      <c r="EB67" s="1097"/>
      <c r="EC67" s="1097"/>
      <c r="ED67" s="1097"/>
      <c r="EE67" s="1097"/>
      <c r="EF67" s="1097"/>
      <c r="EG67" s="1097"/>
      <c r="EH67" s="1097"/>
      <c r="EI67" s="1097"/>
      <c r="EJ67" s="1097"/>
      <c r="EK67" s="1097"/>
      <c r="EL67" s="1097"/>
      <c r="EM67" s="1097"/>
      <c r="EN67" s="1097"/>
      <c r="EO67" s="1097"/>
      <c r="EP67" s="1097"/>
      <c r="EQ67" s="1097"/>
      <c r="ER67" s="1097"/>
      <c r="ES67" s="1097"/>
      <c r="ET67" s="1097"/>
      <c r="EU67" s="1097"/>
      <c r="EV67" s="1097"/>
      <c r="EW67" s="1097"/>
      <c r="EX67" s="1097"/>
      <c r="EY67" s="1097"/>
      <c r="EZ67" s="1097"/>
      <c r="FA67" s="1097"/>
      <c r="FB67" s="1097"/>
      <c r="FC67" s="1097"/>
      <c r="FD67" s="1097"/>
      <c r="FE67" s="1097"/>
      <c r="FF67" s="1097"/>
      <c r="FG67" s="1097"/>
      <c r="FH67" s="1097"/>
      <c r="FI67" s="1097"/>
      <c r="FJ67" s="1097"/>
      <c r="FK67" s="1097"/>
      <c r="FL67" s="1097"/>
      <c r="FM67" s="1097"/>
      <c r="FN67" s="1097"/>
      <c r="FO67" s="1097"/>
      <c r="FP67" s="1097"/>
      <c r="FQ67" s="1097"/>
      <c r="FR67" s="1097"/>
      <c r="FS67" s="1097"/>
      <c r="FT67" s="1097"/>
      <c r="FU67" s="1097"/>
      <c r="FV67" s="1097"/>
      <c r="FW67" s="1097"/>
      <c r="FX67" s="1097"/>
      <c r="FY67" s="1097"/>
      <c r="FZ67" s="1097"/>
      <c r="GA67" s="1097"/>
      <c r="GB67" s="1097"/>
      <c r="GC67" s="1097"/>
      <c r="GD67" s="1097"/>
      <c r="GE67" s="1097"/>
      <c r="GF67" s="1097"/>
      <c r="GG67" s="1097"/>
      <c r="GH67" s="1097"/>
      <c r="GI67" s="1097"/>
      <c r="GJ67" s="1097"/>
      <c r="GK67" s="1097"/>
      <c r="GL67" s="1097"/>
      <c r="GM67" s="1097"/>
      <c r="GN67" s="1097"/>
      <c r="GO67" s="1097"/>
      <c r="GP67" s="1097"/>
      <c r="GQ67" s="1097"/>
      <c r="GR67" s="1097"/>
      <c r="GS67" s="1097"/>
      <c r="GT67" s="1097"/>
      <c r="GU67" s="1097"/>
      <c r="GV67" s="1097"/>
      <c r="GW67" s="1097"/>
      <c r="GX67" s="1097"/>
      <c r="GY67" s="1097"/>
      <c r="GZ67" s="1097"/>
      <c r="HA67" s="1097"/>
      <c r="HB67" s="1097"/>
      <c r="HC67" s="1097"/>
      <c r="HD67" s="1097"/>
      <c r="HE67" s="1097"/>
      <c r="HF67" s="1097"/>
      <c r="HG67" s="1097"/>
      <c r="HH67" s="1097"/>
      <c r="HI67" s="1097"/>
      <c r="HJ67" s="1097"/>
      <c r="HK67" s="1097"/>
      <c r="HL67" s="1097"/>
      <c r="HM67" s="1097"/>
      <c r="HN67" s="1097"/>
      <c r="HO67" s="1097"/>
      <c r="HP67" s="1097"/>
      <c r="HQ67" s="1097"/>
      <c r="HR67" s="1097"/>
      <c r="HS67" s="1097"/>
      <c r="HT67" s="1097"/>
      <c r="HU67" s="1097"/>
      <c r="HV67" s="1097"/>
      <c r="HW67" s="1097"/>
      <c r="HX67" s="1097"/>
      <c r="HY67" s="1097"/>
      <c r="HZ67" s="1097"/>
      <c r="IA67" s="1097"/>
      <c r="IB67" s="1097"/>
      <c r="IC67" s="1097"/>
      <c r="ID67" s="1097"/>
      <c r="IE67" s="1097"/>
      <c r="IF67" s="1097"/>
      <c r="IG67" s="1097"/>
      <c r="IH67" s="1097"/>
      <c r="II67" s="1097"/>
      <c r="IJ67" s="1097"/>
      <c r="IK67" s="1097"/>
      <c r="IL67" s="1097"/>
      <c r="IM67" s="1097"/>
      <c r="IN67" s="1097"/>
      <c r="IO67" s="1097"/>
      <c r="IP67" s="1097"/>
      <c r="IQ67" s="1097"/>
      <c r="IR67" s="1097"/>
      <c r="IS67" s="1097"/>
      <c r="IT67" s="1097"/>
      <c r="IU67" s="1097"/>
      <c r="IV67" s="1097"/>
    </row>
    <row r="68" spans="1:256" ht="12.75" customHeight="1">
      <c r="A68" s="2264" t="s">
        <v>2596</v>
      </c>
      <c r="B68" s="2259"/>
      <c r="C68" s="2259"/>
      <c r="D68" s="2259"/>
      <c r="E68" s="2259"/>
      <c r="F68" s="2259"/>
      <c r="G68" s="2259"/>
      <c r="H68" s="2259"/>
    </row>
    <row r="69" spans="1:256" ht="12.75" customHeight="1">
      <c r="A69" s="2264" t="s">
        <v>2480</v>
      </c>
      <c r="B69" s="2259"/>
      <c r="C69" s="2259"/>
      <c r="D69" s="2259"/>
      <c r="E69" s="2259"/>
      <c r="F69" s="2259"/>
      <c r="G69" s="2259"/>
      <c r="H69" s="2259"/>
    </row>
    <row r="70" spans="1:256" customFormat="1"/>
    <row r="71" spans="1:256" ht="12.75" customHeight="1">
      <c r="A71" s="2395" t="s">
        <v>1294</v>
      </c>
      <c r="B71" s="2395"/>
      <c r="C71" s="2395"/>
      <c r="D71" s="2395"/>
      <c r="E71" s="2395"/>
      <c r="F71" s="2395"/>
      <c r="G71" s="2395"/>
      <c r="H71" s="2395"/>
    </row>
    <row r="72" spans="1:256" s="1098" customFormat="1" ht="25.5" customHeight="1">
      <c r="A72" s="2264" t="s">
        <v>2481</v>
      </c>
      <c r="B72" s="2259"/>
      <c r="C72" s="2259"/>
      <c r="D72" s="2259"/>
      <c r="E72" s="2259"/>
      <c r="F72" s="2259"/>
      <c r="G72" s="2259"/>
      <c r="H72" s="2259"/>
      <c r="I72" s="1097"/>
      <c r="J72" s="1097"/>
      <c r="K72" s="1097"/>
      <c r="L72" s="1097"/>
      <c r="M72" s="1097"/>
      <c r="N72" s="1097"/>
      <c r="O72" s="1097"/>
      <c r="P72" s="1097"/>
      <c r="Q72" s="1097"/>
      <c r="R72" s="1097"/>
      <c r="S72" s="1097"/>
      <c r="T72" s="1097"/>
      <c r="U72" s="1097"/>
      <c r="V72" s="1097"/>
      <c r="W72" s="1097"/>
      <c r="X72" s="1097"/>
      <c r="Y72" s="1097"/>
      <c r="Z72" s="1097"/>
      <c r="AA72" s="1097"/>
      <c r="AB72" s="1097"/>
      <c r="AC72" s="1097"/>
      <c r="AD72" s="1097"/>
      <c r="AE72" s="1097"/>
      <c r="AF72" s="1097"/>
      <c r="AG72" s="1097"/>
      <c r="AH72" s="1097"/>
      <c r="AI72" s="1097"/>
      <c r="AJ72" s="1097"/>
      <c r="AK72" s="1097"/>
      <c r="AL72" s="1097"/>
      <c r="AM72" s="1097"/>
      <c r="AN72" s="1097"/>
      <c r="AO72" s="1097"/>
      <c r="AP72" s="1097"/>
      <c r="AQ72" s="1097"/>
      <c r="AR72" s="1097"/>
      <c r="AS72" s="1097"/>
      <c r="AT72" s="1097"/>
      <c r="AU72" s="1097"/>
      <c r="AV72" s="1097"/>
      <c r="AW72" s="1097"/>
      <c r="AX72" s="1097"/>
      <c r="AY72" s="1097"/>
      <c r="AZ72" s="1097"/>
      <c r="BA72" s="1097"/>
      <c r="BB72" s="1097"/>
      <c r="BC72" s="1097"/>
      <c r="BD72" s="1097"/>
      <c r="BE72" s="1097"/>
      <c r="BF72" s="1097"/>
      <c r="BG72" s="1097"/>
      <c r="BH72" s="1097"/>
      <c r="BI72" s="1097"/>
      <c r="BJ72" s="1097"/>
      <c r="BK72" s="1097"/>
      <c r="BL72" s="1097"/>
      <c r="BM72" s="1097"/>
      <c r="BN72" s="1097"/>
      <c r="BO72" s="1097"/>
      <c r="BP72" s="1097"/>
      <c r="BQ72" s="1097"/>
      <c r="BR72" s="1097"/>
      <c r="BS72" s="1097"/>
      <c r="BT72" s="1097"/>
      <c r="BU72" s="1097"/>
      <c r="BV72" s="1097"/>
      <c r="BW72" s="1097"/>
      <c r="BX72" s="1097"/>
      <c r="BY72" s="1097"/>
      <c r="BZ72" s="1097"/>
      <c r="CA72" s="1097"/>
      <c r="CB72" s="1097"/>
      <c r="CC72" s="1097"/>
      <c r="CD72" s="1097"/>
      <c r="CE72" s="1097"/>
      <c r="CF72" s="1097"/>
      <c r="CG72" s="1097"/>
      <c r="CH72" s="1097"/>
      <c r="CI72" s="1097"/>
      <c r="CJ72" s="1097"/>
      <c r="CK72" s="1097"/>
      <c r="CL72" s="1097"/>
      <c r="CM72" s="1097"/>
      <c r="CN72" s="1097"/>
      <c r="CO72" s="1097"/>
      <c r="CP72" s="1097"/>
      <c r="CQ72" s="1097"/>
      <c r="CR72" s="1097"/>
      <c r="CS72" s="1097"/>
      <c r="CT72" s="1097"/>
      <c r="CU72" s="1097"/>
      <c r="CV72" s="1097"/>
      <c r="CW72" s="1097"/>
      <c r="CX72" s="1097"/>
      <c r="CY72" s="1097"/>
      <c r="CZ72" s="1097"/>
      <c r="DA72" s="1097"/>
      <c r="DB72" s="1097"/>
      <c r="DC72" s="1097"/>
      <c r="DD72" s="1097"/>
      <c r="DE72" s="1097"/>
      <c r="DF72" s="1097"/>
      <c r="DG72" s="1097"/>
      <c r="DH72" s="1097"/>
      <c r="DI72" s="1097"/>
      <c r="DJ72" s="1097"/>
      <c r="DK72" s="1097"/>
      <c r="DL72" s="1097"/>
      <c r="DM72" s="1097"/>
      <c r="DN72" s="1097"/>
      <c r="DO72" s="1097"/>
      <c r="DP72" s="1097"/>
      <c r="DQ72" s="1097"/>
      <c r="DR72" s="1097"/>
      <c r="DS72" s="1097"/>
      <c r="DT72" s="1097"/>
      <c r="DU72" s="1097"/>
      <c r="DV72" s="1097"/>
      <c r="DW72" s="1097"/>
      <c r="DX72" s="1097"/>
      <c r="DY72" s="1097"/>
      <c r="DZ72" s="1097"/>
      <c r="EA72" s="1097"/>
      <c r="EB72" s="1097"/>
      <c r="EC72" s="1097"/>
      <c r="ED72" s="1097"/>
      <c r="EE72" s="1097"/>
      <c r="EF72" s="1097"/>
      <c r="EG72" s="1097"/>
      <c r="EH72" s="1097"/>
      <c r="EI72" s="1097"/>
      <c r="EJ72" s="1097"/>
      <c r="EK72" s="1097"/>
      <c r="EL72" s="1097"/>
      <c r="EM72" s="1097"/>
      <c r="EN72" s="1097"/>
      <c r="EO72" s="1097"/>
      <c r="EP72" s="1097"/>
      <c r="EQ72" s="1097"/>
      <c r="ER72" s="1097"/>
      <c r="ES72" s="1097"/>
      <c r="ET72" s="1097"/>
      <c r="EU72" s="1097"/>
      <c r="EV72" s="1097"/>
      <c r="EW72" s="1097"/>
      <c r="EX72" s="1097"/>
      <c r="EY72" s="1097"/>
      <c r="EZ72" s="1097"/>
      <c r="FA72" s="1097"/>
      <c r="FB72" s="1097"/>
      <c r="FC72" s="1097"/>
      <c r="FD72" s="1097"/>
      <c r="FE72" s="1097"/>
      <c r="FF72" s="1097"/>
      <c r="FG72" s="1097"/>
      <c r="FH72" s="1097"/>
      <c r="FI72" s="1097"/>
      <c r="FJ72" s="1097"/>
      <c r="FK72" s="1097"/>
      <c r="FL72" s="1097"/>
      <c r="FM72" s="1097"/>
      <c r="FN72" s="1097"/>
      <c r="FO72" s="1097"/>
      <c r="FP72" s="1097"/>
      <c r="FQ72" s="1097"/>
      <c r="FR72" s="1097"/>
      <c r="FS72" s="1097"/>
      <c r="FT72" s="1097"/>
      <c r="FU72" s="1097"/>
      <c r="FV72" s="1097"/>
      <c r="FW72" s="1097"/>
      <c r="FX72" s="1097"/>
      <c r="FY72" s="1097"/>
      <c r="FZ72" s="1097"/>
      <c r="GA72" s="1097"/>
      <c r="GB72" s="1097"/>
      <c r="GC72" s="1097"/>
      <c r="GD72" s="1097"/>
      <c r="GE72" s="1097"/>
      <c r="GF72" s="1097"/>
      <c r="GG72" s="1097"/>
      <c r="GH72" s="1097"/>
      <c r="GI72" s="1097"/>
      <c r="GJ72" s="1097"/>
      <c r="GK72" s="1097"/>
      <c r="GL72" s="1097"/>
      <c r="GM72" s="1097"/>
      <c r="GN72" s="1097"/>
      <c r="GO72" s="1097"/>
      <c r="GP72" s="1097"/>
      <c r="GQ72" s="1097"/>
      <c r="GR72" s="1097"/>
      <c r="GS72" s="1097"/>
      <c r="GT72" s="1097"/>
      <c r="GU72" s="1097"/>
      <c r="GV72" s="1097"/>
      <c r="GW72" s="1097"/>
      <c r="GX72" s="1097"/>
      <c r="GY72" s="1097"/>
      <c r="GZ72" s="1097"/>
      <c r="HA72" s="1097"/>
      <c r="HB72" s="1097"/>
      <c r="HC72" s="1097"/>
      <c r="HD72" s="1097"/>
      <c r="HE72" s="1097"/>
      <c r="HF72" s="1097"/>
      <c r="HG72" s="1097"/>
      <c r="HH72" s="1097"/>
      <c r="HI72" s="1097"/>
      <c r="HJ72" s="1097"/>
      <c r="HK72" s="1097"/>
      <c r="HL72" s="1097"/>
      <c r="HM72" s="1097"/>
      <c r="HN72" s="1097"/>
      <c r="HO72" s="1097"/>
      <c r="HP72" s="1097"/>
      <c r="HQ72" s="1097"/>
      <c r="HR72" s="1097"/>
      <c r="HS72" s="1097"/>
      <c r="HT72" s="1097"/>
      <c r="HU72" s="1097"/>
      <c r="HV72" s="1097"/>
      <c r="HW72" s="1097"/>
      <c r="HX72" s="1097"/>
      <c r="HY72" s="1097"/>
      <c r="HZ72" s="1097"/>
      <c r="IA72" s="1097"/>
      <c r="IB72" s="1097"/>
      <c r="IC72" s="1097"/>
      <c r="ID72" s="1097"/>
      <c r="IE72" s="1097"/>
      <c r="IF72" s="1097"/>
      <c r="IG72" s="1097"/>
      <c r="IH72" s="1097"/>
      <c r="II72" s="1097"/>
      <c r="IJ72" s="1097"/>
      <c r="IK72" s="1097"/>
      <c r="IL72" s="1097"/>
      <c r="IM72" s="1097"/>
      <c r="IN72" s="1097"/>
      <c r="IO72" s="1097"/>
      <c r="IP72" s="1097"/>
      <c r="IQ72" s="1097"/>
      <c r="IR72" s="1097"/>
      <c r="IS72" s="1097"/>
      <c r="IT72" s="1097"/>
      <c r="IU72" s="1097"/>
      <c r="IV72" s="1097"/>
    </row>
    <row r="73" spans="1:256" s="1098" customFormat="1" ht="25.5" customHeight="1">
      <c r="A73" s="2264" t="s">
        <v>549</v>
      </c>
      <c r="B73" s="2259"/>
      <c r="C73" s="2259"/>
      <c r="D73" s="2259"/>
      <c r="E73" s="2259"/>
      <c r="F73" s="2259"/>
      <c r="G73" s="2259"/>
      <c r="H73" s="2259"/>
      <c r="I73" s="1097"/>
      <c r="J73" s="1097"/>
      <c r="K73" s="1097"/>
      <c r="L73" s="1097"/>
      <c r="M73" s="1097"/>
      <c r="N73" s="1097"/>
      <c r="O73" s="1097"/>
      <c r="P73" s="1097"/>
      <c r="Q73" s="1097"/>
      <c r="R73" s="1097"/>
      <c r="S73" s="1097"/>
      <c r="T73" s="1097"/>
      <c r="U73" s="1097"/>
      <c r="V73" s="1097"/>
      <c r="W73" s="1097"/>
      <c r="X73" s="1097"/>
      <c r="Y73" s="1097"/>
      <c r="Z73" s="1097"/>
      <c r="AA73" s="1097"/>
      <c r="AB73" s="1097"/>
      <c r="AC73" s="1097"/>
      <c r="AD73" s="1097"/>
      <c r="AE73" s="1097"/>
      <c r="AF73" s="1097"/>
      <c r="AG73" s="1097"/>
      <c r="AH73" s="1097"/>
      <c r="AI73" s="1097"/>
      <c r="AJ73" s="1097"/>
      <c r="AK73" s="1097"/>
      <c r="AL73" s="1097"/>
      <c r="AM73" s="1097"/>
      <c r="AN73" s="1097"/>
      <c r="AO73" s="1097"/>
      <c r="AP73" s="1097"/>
      <c r="AQ73" s="1097"/>
      <c r="AR73" s="1097"/>
      <c r="AS73" s="1097"/>
      <c r="AT73" s="1097"/>
      <c r="AU73" s="1097"/>
      <c r="AV73" s="1097"/>
      <c r="AW73" s="1097"/>
      <c r="AX73" s="1097"/>
      <c r="AY73" s="1097"/>
      <c r="AZ73" s="1097"/>
      <c r="BA73" s="1097"/>
      <c r="BB73" s="1097"/>
      <c r="BC73" s="1097"/>
      <c r="BD73" s="1097"/>
      <c r="BE73" s="1097"/>
      <c r="BF73" s="1097"/>
      <c r="BG73" s="1097"/>
      <c r="BH73" s="1097"/>
      <c r="BI73" s="1097"/>
      <c r="BJ73" s="1097"/>
      <c r="BK73" s="1097"/>
      <c r="BL73" s="1097"/>
      <c r="BM73" s="1097"/>
      <c r="BN73" s="1097"/>
      <c r="BO73" s="1097"/>
      <c r="BP73" s="1097"/>
      <c r="BQ73" s="1097"/>
      <c r="BR73" s="1097"/>
      <c r="BS73" s="1097"/>
      <c r="BT73" s="1097"/>
      <c r="BU73" s="1097"/>
      <c r="BV73" s="1097"/>
      <c r="BW73" s="1097"/>
      <c r="BX73" s="1097"/>
      <c r="BY73" s="1097"/>
      <c r="BZ73" s="1097"/>
      <c r="CA73" s="1097"/>
      <c r="CB73" s="1097"/>
      <c r="CC73" s="1097"/>
      <c r="CD73" s="1097"/>
      <c r="CE73" s="1097"/>
      <c r="CF73" s="1097"/>
      <c r="CG73" s="1097"/>
      <c r="CH73" s="1097"/>
      <c r="CI73" s="1097"/>
      <c r="CJ73" s="1097"/>
      <c r="CK73" s="1097"/>
      <c r="CL73" s="1097"/>
      <c r="CM73" s="1097"/>
      <c r="CN73" s="1097"/>
      <c r="CO73" s="1097"/>
      <c r="CP73" s="1097"/>
      <c r="CQ73" s="1097"/>
      <c r="CR73" s="1097"/>
      <c r="CS73" s="1097"/>
      <c r="CT73" s="1097"/>
      <c r="CU73" s="1097"/>
      <c r="CV73" s="1097"/>
      <c r="CW73" s="1097"/>
      <c r="CX73" s="1097"/>
      <c r="CY73" s="1097"/>
      <c r="CZ73" s="1097"/>
      <c r="DA73" s="1097"/>
      <c r="DB73" s="1097"/>
      <c r="DC73" s="1097"/>
      <c r="DD73" s="1097"/>
      <c r="DE73" s="1097"/>
      <c r="DF73" s="1097"/>
      <c r="DG73" s="1097"/>
      <c r="DH73" s="1097"/>
      <c r="DI73" s="1097"/>
      <c r="DJ73" s="1097"/>
      <c r="DK73" s="1097"/>
      <c r="DL73" s="1097"/>
      <c r="DM73" s="1097"/>
      <c r="DN73" s="1097"/>
      <c r="DO73" s="1097"/>
      <c r="DP73" s="1097"/>
      <c r="DQ73" s="1097"/>
      <c r="DR73" s="1097"/>
      <c r="DS73" s="1097"/>
      <c r="DT73" s="1097"/>
      <c r="DU73" s="1097"/>
      <c r="DV73" s="1097"/>
      <c r="DW73" s="1097"/>
      <c r="DX73" s="1097"/>
      <c r="DY73" s="1097"/>
      <c r="DZ73" s="1097"/>
      <c r="EA73" s="1097"/>
      <c r="EB73" s="1097"/>
      <c r="EC73" s="1097"/>
      <c r="ED73" s="1097"/>
      <c r="EE73" s="1097"/>
      <c r="EF73" s="1097"/>
      <c r="EG73" s="1097"/>
      <c r="EH73" s="1097"/>
      <c r="EI73" s="1097"/>
      <c r="EJ73" s="1097"/>
      <c r="EK73" s="1097"/>
      <c r="EL73" s="1097"/>
      <c r="EM73" s="1097"/>
      <c r="EN73" s="1097"/>
      <c r="EO73" s="1097"/>
      <c r="EP73" s="1097"/>
      <c r="EQ73" s="1097"/>
      <c r="ER73" s="1097"/>
      <c r="ES73" s="1097"/>
      <c r="ET73" s="1097"/>
      <c r="EU73" s="1097"/>
      <c r="EV73" s="1097"/>
      <c r="EW73" s="1097"/>
      <c r="EX73" s="1097"/>
      <c r="EY73" s="1097"/>
      <c r="EZ73" s="1097"/>
      <c r="FA73" s="1097"/>
      <c r="FB73" s="1097"/>
      <c r="FC73" s="1097"/>
      <c r="FD73" s="1097"/>
      <c r="FE73" s="1097"/>
      <c r="FF73" s="1097"/>
      <c r="FG73" s="1097"/>
      <c r="FH73" s="1097"/>
      <c r="FI73" s="1097"/>
      <c r="FJ73" s="1097"/>
      <c r="FK73" s="1097"/>
      <c r="FL73" s="1097"/>
      <c r="FM73" s="1097"/>
      <c r="FN73" s="1097"/>
      <c r="FO73" s="1097"/>
      <c r="FP73" s="1097"/>
      <c r="FQ73" s="1097"/>
      <c r="FR73" s="1097"/>
      <c r="FS73" s="1097"/>
      <c r="FT73" s="1097"/>
      <c r="FU73" s="1097"/>
      <c r="FV73" s="1097"/>
      <c r="FW73" s="1097"/>
      <c r="FX73" s="1097"/>
      <c r="FY73" s="1097"/>
      <c r="FZ73" s="1097"/>
      <c r="GA73" s="1097"/>
      <c r="GB73" s="1097"/>
      <c r="GC73" s="1097"/>
      <c r="GD73" s="1097"/>
      <c r="GE73" s="1097"/>
      <c r="GF73" s="1097"/>
      <c r="GG73" s="1097"/>
      <c r="GH73" s="1097"/>
      <c r="GI73" s="1097"/>
      <c r="GJ73" s="1097"/>
      <c r="GK73" s="1097"/>
      <c r="GL73" s="1097"/>
      <c r="GM73" s="1097"/>
      <c r="GN73" s="1097"/>
      <c r="GO73" s="1097"/>
      <c r="GP73" s="1097"/>
      <c r="GQ73" s="1097"/>
      <c r="GR73" s="1097"/>
      <c r="GS73" s="1097"/>
      <c r="GT73" s="1097"/>
      <c r="GU73" s="1097"/>
      <c r="GV73" s="1097"/>
      <c r="GW73" s="1097"/>
      <c r="GX73" s="1097"/>
      <c r="GY73" s="1097"/>
      <c r="GZ73" s="1097"/>
      <c r="HA73" s="1097"/>
      <c r="HB73" s="1097"/>
      <c r="HC73" s="1097"/>
      <c r="HD73" s="1097"/>
      <c r="HE73" s="1097"/>
      <c r="HF73" s="1097"/>
      <c r="HG73" s="1097"/>
      <c r="HH73" s="1097"/>
      <c r="HI73" s="1097"/>
      <c r="HJ73" s="1097"/>
      <c r="HK73" s="1097"/>
      <c r="HL73" s="1097"/>
      <c r="HM73" s="1097"/>
      <c r="HN73" s="1097"/>
      <c r="HO73" s="1097"/>
      <c r="HP73" s="1097"/>
      <c r="HQ73" s="1097"/>
      <c r="HR73" s="1097"/>
      <c r="HS73" s="1097"/>
      <c r="HT73" s="1097"/>
      <c r="HU73" s="1097"/>
      <c r="HV73" s="1097"/>
      <c r="HW73" s="1097"/>
      <c r="HX73" s="1097"/>
      <c r="HY73" s="1097"/>
      <c r="HZ73" s="1097"/>
      <c r="IA73" s="1097"/>
      <c r="IB73" s="1097"/>
      <c r="IC73" s="1097"/>
      <c r="ID73" s="1097"/>
      <c r="IE73" s="1097"/>
      <c r="IF73" s="1097"/>
      <c r="IG73" s="1097"/>
      <c r="IH73" s="1097"/>
      <c r="II73" s="1097"/>
      <c r="IJ73" s="1097"/>
      <c r="IK73" s="1097"/>
      <c r="IL73" s="1097"/>
      <c r="IM73" s="1097"/>
      <c r="IN73" s="1097"/>
      <c r="IO73" s="1097"/>
      <c r="IP73" s="1097"/>
      <c r="IQ73" s="1097"/>
      <c r="IR73" s="1097"/>
      <c r="IS73" s="1097"/>
      <c r="IT73" s="1097"/>
      <c r="IU73" s="1097"/>
      <c r="IV73" s="1097"/>
    </row>
    <row r="74" spans="1:256" customFormat="1"/>
    <row r="75" spans="1:256" customFormat="1"/>
    <row r="76" spans="1:256" customFormat="1"/>
    <row r="77" spans="1:256" customFormat="1"/>
    <row r="78" spans="1:256" customFormat="1"/>
    <row r="79" spans="1:256" customFormat="1"/>
    <row r="80" spans="1:256" customFormat="1"/>
    <row r="81" customFormat="1"/>
  </sheetData>
  <sheetProtection algorithmName="SHA-512" hashValue="JgR00TgvuVmaQNNbrli3gg0dXk9+TPO23ZYM/q0T+a1qoog7VXAJzqJqgOkGrNs0nX8FXvbrD7DLCBdS5nh42A==" saltValue="nw4tOJ4ISfgSQ0w5I1/waQ==" spinCount="100000" sheet="1" objects="1" scenarios="1"/>
  <mergeCells count="48">
    <mergeCell ref="A50:H50"/>
    <mergeCell ref="A52:H52"/>
    <mergeCell ref="A54:H54"/>
    <mergeCell ref="A73:H73"/>
    <mergeCell ref="A56:G56"/>
    <mergeCell ref="A58:H58"/>
    <mergeCell ref="A61:G61"/>
    <mergeCell ref="A63:H63"/>
    <mergeCell ref="A64:H64"/>
    <mergeCell ref="A65:H65"/>
    <mergeCell ref="A67:H67"/>
    <mergeCell ref="A68:H68"/>
    <mergeCell ref="A69:H69"/>
    <mergeCell ref="A71:H71"/>
    <mergeCell ref="A72:H72"/>
    <mergeCell ref="A48:H48"/>
    <mergeCell ref="A32:H32"/>
    <mergeCell ref="A33:H33"/>
    <mergeCell ref="A34:H34"/>
    <mergeCell ref="A35:H35"/>
    <mergeCell ref="A37:H37"/>
    <mergeCell ref="A38:H38"/>
    <mergeCell ref="A39:H39"/>
    <mergeCell ref="A41:H41"/>
    <mergeCell ref="A42:H42"/>
    <mergeCell ref="A43:H43"/>
    <mergeCell ref="A36:H36"/>
    <mergeCell ref="A26:G26"/>
    <mergeCell ref="A28:G28"/>
    <mergeCell ref="A29:H29"/>
    <mergeCell ref="A44:H44"/>
    <mergeCell ref="A45:H45"/>
    <mergeCell ref="A30:H30"/>
    <mergeCell ref="A31:H31"/>
    <mergeCell ref="A22:H22"/>
    <mergeCell ref="A23:H23"/>
    <mergeCell ref="A21:H21"/>
    <mergeCell ref="E1:F1"/>
    <mergeCell ref="A3:H3"/>
    <mergeCell ref="A5:H5"/>
    <mergeCell ref="A6:H6"/>
    <mergeCell ref="A7:H7"/>
    <mergeCell ref="A10:G10"/>
    <mergeCell ref="A12:G12"/>
    <mergeCell ref="A14:G14"/>
    <mergeCell ref="A16:G16"/>
    <mergeCell ref="A18:H18"/>
    <mergeCell ref="A20:H20"/>
  </mergeCells>
  <hyperlinks>
    <hyperlink ref="E1" location="Sommaire!A1" display="Retour Sommaire"/>
  </hyperlinks>
  <printOptions horizontalCentered="1"/>
  <pageMargins left="0.59055118110236227" right="0.59055118110236227" top="0.59055118110236227" bottom="0.59055118110236227" header="0.51181102362204722" footer="0.27559055118110237"/>
  <pageSetup paperSize="9" scale="61" firstPageNumber="0" orientation="portrait" r:id="rId1"/>
  <headerFooter alignWithMargins="0">
    <oddFooter>&amp;LRSU 2020 - Présentation au CTP&amp;R&amp;P/&amp;N
&amp;A</oddFooter>
  </headerFooter>
</worksheet>
</file>

<file path=xl/worksheets/sheet29.xml><?xml version="1.0" encoding="utf-8"?>
<worksheet xmlns="http://schemas.openxmlformats.org/spreadsheetml/2006/main" xmlns:r="http://schemas.openxmlformats.org/officeDocument/2006/relationships">
  <sheetPr codeName="Feuil21">
    <pageSetUpPr fitToPage="1"/>
  </sheetPr>
  <dimension ref="A1:K83"/>
  <sheetViews>
    <sheetView showGridLines="0" zoomScaleNormal="100" workbookViewId="0"/>
  </sheetViews>
  <sheetFormatPr baseColWidth="10" defaultColWidth="10.85546875" defaultRowHeight="12.75" customHeight="1"/>
  <cols>
    <col min="1" max="1" width="2.28515625" customWidth="1"/>
    <col min="2" max="2" width="54.140625" bestFit="1" customWidth="1"/>
    <col min="3" max="3" width="54.140625" customWidth="1"/>
    <col min="4" max="6" width="10.42578125" customWidth="1"/>
    <col min="7" max="7" width="2.7109375" customWidth="1"/>
    <col min="8" max="10" width="10.42578125" customWidth="1"/>
    <col min="11" max="11" width="8.42578125" customWidth="1"/>
    <col min="12" max="17" width="10.85546875" customWidth="1"/>
  </cols>
  <sheetData>
    <row r="1" spans="1:11" ht="17.100000000000001" customHeight="1">
      <c r="A1" s="137"/>
      <c r="B1" s="137"/>
      <c r="C1" s="137"/>
      <c r="D1" s="2245" t="s">
        <v>958</v>
      </c>
      <c r="E1" s="2245"/>
      <c r="F1" s="137"/>
      <c r="G1" s="137"/>
      <c r="H1" s="137"/>
      <c r="I1" s="137"/>
      <c r="J1" s="137"/>
      <c r="K1" s="137"/>
    </row>
    <row r="2" spans="1:11" ht="13.5" thickBot="1">
      <c r="A2" s="137"/>
      <c r="B2" s="137"/>
      <c r="C2" s="137"/>
      <c r="D2" s="163"/>
      <c r="E2" s="164"/>
      <c r="F2" s="137"/>
      <c r="G2" s="137"/>
      <c r="H2" s="137"/>
      <c r="I2" s="137"/>
      <c r="J2" s="137"/>
      <c r="K2" s="137"/>
    </row>
    <row r="3" spans="1:11" ht="13.5" thickBot="1">
      <c r="A3" s="2405" t="s">
        <v>2169</v>
      </c>
      <c r="B3" s="2405"/>
      <c r="C3" s="2405"/>
      <c r="D3" s="2405"/>
      <c r="E3" s="2405"/>
      <c r="F3" s="2405"/>
      <c r="G3" s="2405"/>
      <c r="H3" s="2405"/>
      <c r="I3" s="2405"/>
      <c r="J3" s="2405"/>
      <c r="K3" s="138"/>
    </row>
    <row r="4" spans="1:11" ht="13.5" thickBot="1">
      <c r="A4" s="165"/>
      <c r="B4" s="425"/>
      <c r="C4" s="425"/>
      <c r="D4" s="426"/>
      <c r="E4" s="426"/>
      <c r="F4" s="425"/>
      <c r="G4" s="425"/>
      <c r="H4" s="425"/>
      <c r="I4" s="138"/>
      <c r="J4" s="138"/>
      <c r="K4" s="138"/>
    </row>
    <row r="5" spans="1:11" ht="13.5" thickBot="1">
      <c r="A5" s="2405" t="s">
        <v>942</v>
      </c>
      <c r="B5" s="2405"/>
      <c r="C5" s="2405"/>
      <c r="D5" s="2405"/>
      <c r="E5" s="2405"/>
      <c r="F5" s="2405"/>
      <c r="G5" s="2405"/>
      <c r="H5" s="2405"/>
      <c r="I5" s="2405"/>
      <c r="J5" s="2405"/>
      <c r="K5" s="166"/>
    </row>
    <row r="6" spans="1:11">
      <c r="A6" s="167"/>
      <c r="B6" s="167"/>
      <c r="C6" s="167"/>
      <c r="D6" s="168"/>
      <c r="E6" s="168"/>
      <c r="F6" s="168"/>
      <c r="G6" s="167"/>
      <c r="H6" s="168"/>
      <c r="I6" s="168"/>
      <c r="J6" s="168"/>
      <c r="K6" s="166"/>
    </row>
    <row r="7" spans="1:11">
      <c r="A7" s="2415" t="s">
        <v>2482</v>
      </c>
      <c r="B7" s="2415"/>
      <c r="C7" s="2415"/>
      <c r="D7" s="2415"/>
      <c r="E7" s="2415"/>
      <c r="F7" s="2415"/>
      <c r="G7" s="2415"/>
      <c r="H7" s="2415"/>
      <c r="I7" s="2415"/>
      <c r="J7" s="2415"/>
      <c r="K7" s="166"/>
    </row>
    <row r="8" spans="1:11">
      <c r="A8" s="2404" t="s">
        <v>295</v>
      </c>
      <c r="B8" s="2404"/>
      <c r="C8" s="2404"/>
      <c r="D8" s="2404"/>
      <c r="E8" s="2404"/>
      <c r="F8" s="2404"/>
      <c r="G8" s="2404"/>
      <c r="H8" s="2404"/>
      <c r="I8" s="2404"/>
      <c r="J8" s="2404"/>
      <c r="K8" s="166"/>
    </row>
    <row r="9" spans="1:11" ht="14.25" customHeight="1">
      <c r="A9" s="2413" t="s">
        <v>294</v>
      </c>
      <c r="B9" s="2414"/>
      <c r="C9" s="2414"/>
      <c r="D9" s="2414"/>
      <c r="E9" s="2414"/>
      <c r="F9" s="2414"/>
      <c r="G9" s="2414"/>
      <c r="H9" s="2414"/>
      <c r="I9" s="427"/>
      <c r="J9" s="427"/>
      <c r="K9" s="428"/>
    </row>
    <row r="10" spans="1:11" ht="14.45" customHeight="1">
      <c r="A10" s="2411" t="s">
        <v>300</v>
      </c>
      <c r="B10" s="2412"/>
      <c r="C10" s="2412"/>
      <c r="D10" s="2412"/>
      <c r="E10" s="2412"/>
      <c r="F10" s="2412"/>
      <c r="G10" s="2412"/>
      <c r="H10" s="2412"/>
      <c r="I10" s="169"/>
      <c r="J10" s="169"/>
      <c r="K10" s="170"/>
    </row>
    <row r="11" spans="1:11" ht="14.1" customHeight="1">
      <c r="A11" s="171"/>
    </row>
    <row r="12" spans="1:11" ht="19.350000000000001" customHeight="1" thickBot="1">
      <c r="A12" s="165"/>
      <c r="D12" s="1193" t="s">
        <v>1623</v>
      </c>
      <c r="E12" s="1193" t="s">
        <v>1623</v>
      </c>
      <c r="F12" s="1193" t="s">
        <v>1623</v>
      </c>
      <c r="H12" s="1193" t="s">
        <v>502</v>
      </c>
      <c r="I12" s="1193" t="s">
        <v>502</v>
      </c>
      <c r="J12" s="1193" t="s">
        <v>502</v>
      </c>
      <c r="K12" s="1193" t="s">
        <v>700</v>
      </c>
    </row>
    <row r="13" spans="1:11" ht="56.25" customHeight="1" thickBot="1">
      <c r="A13" s="429"/>
      <c r="D13" s="2402" t="s">
        <v>2597</v>
      </c>
      <c r="E13" s="2402"/>
      <c r="F13" s="2402"/>
      <c r="G13" s="172"/>
      <c r="H13" s="2402" t="s">
        <v>2608</v>
      </c>
      <c r="I13" s="2402"/>
      <c r="J13" s="2402"/>
      <c r="K13" s="430"/>
    </row>
    <row r="14" spans="1:11" ht="26.25" thickBot="1">
      <c r="A14" s="429"/>
      <c r="D14" s="173" t="s">
        <v>943</v>
      </c>
      <c r="E14" s="174" t="s">
        <v>944</v>
      </c>
      <c r="F14" s="175" t="s">
        <v>768</v>
      </c>
      <c r="G14" s="176"/>
      <c r="H14" s="174" t="s">
        <v>945</v>
      </c>
      <c r="I14" s="174" t="s">
        <v>946</v>
      </c>
      <c r="J14" s="175" t="s">
        <v>768</v>
      </c>
      <c r="K14" s="431"/>
    </row>
    <row r="15" spans="1:11">
      <c r="A15" s="429"/>
      <c r="D15" s="1193">
        <v>1</v>
      </c>
      <c r="E15" s="1193">
        <v>2</v>
      </c>
      <c r="F15" s="1193">
        <v>0</v>
      </c>
      <c r="H15" s="1193">
        <v>1</v>
      </c>
      <c r="I15" s="1193">
        <v>2</v>
      </c>
      <c r="J15" s="1193">
        <v>0</v>
      </c>
      <c r="K15" s="1193" t="s">
        <v>699</v>
      </c>
    </row>
    <row r="16" spans="1:11">
      <c r="B16" s="2396" t="s">
        <v>177</v>
      </c>
      <c r="C16" s="2403"/>
      <c r="D16" s="576">
        <v>5</v>
      </c>
      <c r="E16" s="576">
        <v>2</v>
      </c>
      <c r="F16" s="476">
        <f>SUM(D16:E16)</f>
        <v>7</v>
      </c>
      <c r="G16" s="177"/>
      <c r="H16" s="576">
        <v>7</v>
      </c>
      <c r="I16" s="576">
        <v>2</v>
      </c>
      <c r="J16" s="476">
        <f>SUM(H16:I16)</f>
        <v>9</v>
      </c>
      <c r="K16" s="1194" t="s">
        <v>695</v>
      </c>
    </row>
    <row r="18" spans="2:11">
      <c r="B18" s="2396" t="s">
        <v>178</v>
      </c>
      <c r="C18" s="2403"/>
      <c r="D18" s="576">
        <v>0</v>
      </c>
      <c r="E18" s="576">
        <v>83</v>
      </c>
      <c r="F18" s="476">
        <f>SUM(D18:E18)</f>
        <v>83</v>
      </c>
      <c r="G18" s="177"/>
      <c r="H18" s="576">
        <v>0</v>
      </c>
      <c r="I18" s="576">
        <v>91</v>
      </c>
      <c r="J18" s="476">
        <f>SUM(H18:I18)</f>
        <v>91</v>
      </c>
      <c r="K18" s="1194" t="s">
        <v>179</v>
      </c>
    </row>
    <row r="20" spans="2:11">
      <c r="B20" s="2396" t="s">
        <v>180</v>
      </c>
      <c r="C20" s="2403"/>
      <c r="D20" s="576">
        <v>0</v>
      </c>
      <c r="E20" s="576">
        <v>0</v>
      </c>
      <c r="F20" s="476">
        <f>SUM(D20:E20)</f>
        <v>0</v>
      </c>
      <c r="G20" s="177"/>
      <c r="H20" s="576">
        <v>0</v>
      </c>
      <c r="I20" s="576">
        <v>0</v>
      </c>
      <c r="J20" s="476">
        <f>SUM(H20:I20)</f>
        <v>0</v>
      </c>
      <c r="K20" s="1194" t="s">
        <v>181</v>
      </c>
    </row>
    <row r="22" spans="2:11">
      <c r="B22" s="2396" t="s">
        <v>2296</v>
      </c>
      <c r="C22" s="2397"/>
      <c r="D22" s="577">
        <v>0</v>
      </c>
      <c r="E22" s="578">
        <v>0</v>
      </c>
      <c r="F22" s="477">
        <f>SUM(D22:E22)</f>
        <v>0</v>
      </c>
      <c r="G22" s="215"/>
      <c r="H22" s="576">
        <v>0</v>
      </c>
      <c r="I22" s="576">
        <v>0</v>
      </c>
      <c r="J22" s="476">
        <f>SUM(H22:I22)</f>
        <v>0</v>
      </c>
      <c r="K22" s="1194" t="s">
        <v>183</v>
      </c>
    </row>
    <row r="24" spans="2:11" ht="29.25" customHeight="1">
      <c r="B24" s="2407" t="s">
        <v>2297</v>
      </c>
      <c r="C24" s="2408"/>
      <c r="D24" s="577">
        <v>7</v>
      </c>
      <c r="E24" s="578">
        <v>13</v>
      </c>
      <c r="F24" s="477">
        <f>SUM(D24:E24)</f>
        <v>20</v>
      </c>
      <c r="G24" s="178"/>
      <c r="H24" s="579">
        <v>7</v>
      </c>
      <c r="I24" s="579">
        <v>22</v>
      </c>
      <c r="J24" s="477">
        <f>SUM(H24:I24)</f>
        <v>29</v>
      </c>
      <c r="K24" s="1194" t="s">
        <v>184</v>
      </c>
    </row>
    <row r="26" spans="2:11">
      <c r="B26" s="2398" t="s">
        <v>612</v>
      </c>
      <c r="C26" s="2399"/>
      <c r="D26" s="577">
        <v>0</v>
      </c>
      <c r="E26" s="578">
        <v>0</v>
      </c>
      <c r="F26" s="477">
        <f>SUM(D26:E26)</f>
        <v>0</v>
      </c>
      <c r="G26" s="178"/>
      <c r="H26" s="579">
        <v>0</v>
      </c>
      <c r="I26" s="579">
        <v>0</v>
      </c>
      <c r="J26" s="477">
        <f>SUM(H26:I26)</f>
        <v>0</v>
      </c>
      <c r="K26" s="1194" t="s">
        <v>2027</v>
      </c>
    </row>
    <row r="28" spans="2:11" ht="15" customHeight="1">
      <c r="B28" s="2398" t="s">
        <v>2298</v>
      </c>
      <c r="C28" s="2399"/>
      <c r="D28" s="577">
        <v>0</v>
      </c>
      <c r="E28" s="578">
        <v>0</v>
      </c>
      <c r="F28" s="477">
        <f>SUM(D28:E28)</f>
        <v>0</v>
      </c>
      <c r="G28" s="177"/>
      <c r="H28" s="580">
        <v>0</v>
      </c>
      <c r="I28" s="580">
        <v>0</v>
      </c>
      <c r="J28" s="477">
        <f>SUM(H28:I28)</f>
        <v>0</v>
      </c>
      <c r="K28" s="1194" t="s">
        <v>186</v>
      </c>
    </row>
    <row r="30" spans="2:11">
      <c r="B30" s="2396" t="s">
        <v>187</v>
      </c>
      <c r="C30" s="2397"/>
      <c r="D30" s="578">
        <v>21</v>
      </c>
      <c r="E30" s="578">
        <v>18</v>
      </c>
      <c r="F30" s="477">
        <f>SUM(D30:E30)</f>
        <v>39</v>
      </c>
      <c r="G30" s="177"/>
      <c r="H30" s="581">
        <v>27</v>
      </c>
      <c r="I30" s="579">
        <v>26</v>
      </c>
      <c r="J30" s="477">
        <f>SUM(H30:I30)</f>
        <v>53</v>
      </c>
      <c r="K30" s="1194" t="s">
        <v>1912</v>
      </c>
    </row>
    <row r="32" spans="2:11" ht="15" customHeight="1">
      <c r="B32" s="2398" t="s">
        <v>983</v>
      </c>
      <c r="C32" s="2399"/>
      <c r="D32" s="582">
        <v>14</v>
      </c>
      <c r="E32" s="578">
        <v>8</v>
      </c>
      <c r="F32" s="477">
        <f>SUM(D32:E32)</f>
        <v>22</v>
      </c>
      <c r="G32" s="177"/>
      <c r="H32" s="583">
        <v>19</v>
      </c>
      <c r="I32" s="583">
        <v>12</v>
      </c>
      <c r="J32" s="477">
        <f>SUM(H32:I32)</f>
        <v>31</v>
      </c>
      <c r="K32" s="1194" t="s">
        <v>982</v>
      </c>
    </row>
    <row r="34" spans="1:11">
      <c r="B34" s="2396" t="s">
        <v>2299</v>
      </c>
      <c r="C34" s="2397"/>
      <c r="D34" s="582">
        <v>378</v>
      </c>
      <c r="E34" s="578">
        <v>1115</v>
      </c>
      <c r="F34" s="477">
        <f>SUM(D34:E34)</f>
        <v>1493</v>
      </c>
      <c r="G34" s="177"/>
      <c r="H34" s="583">
        <v>885</v>
      </c>
      <c r="I34" s="583">
        <v>2008</v>
      </c>
      <c r="J34" s="477">
        <f>SUM(H34:I34)</f>
        <v>2893</v>
      </c>
      <c r="K34" s="1194" t="s">
        <v>2099</v>
      </c>
    </row>
    <row r="36" spans="1:11">
      <c r="B36" s="2396" t="s">
        <v>2300</v>
      </c>
      <c r="C36" s="2397"/>
      <c r="D36" s="578">
        <v>8</v>
      </c>
      <c r="E36" s="578">
        <v>2</v>
      </c>
      <c r="F36" s="477">
        <f>SUM(D36:E36)</f>
        <v>10</v>
      </c>
      <c r="G36" s="177"/>
      <c r="H36" s="580">
        <v>19</v>
      </c>
      <c r="I36" s="580">
        <v>10</v>
      </c>
      <c r="J36" s="477">
        <f>SUM(H36:I36)</f>
        <v>29</v>
      </c>
      <c r="K36" s="1194" t="s">
        <v>2100</v>
      </c>
    </row>
    <row r="38" spans="1:11">
      <c r="B38" s="2409" t="s">
        <v>696</v>
      </c>
      <c r="C38" s="2410"/>
      <c r="D38" s="476">
        <f>D16+D18+D20+D22+D24+D28+D30+D32+D36+D26+D34</f>
        <v>433</v>
      </c>
      <c r="E38" s="476">
        <f t="shared" ref="E38:J38" si="0">E16+E18+E20+E22+E24+E28+E30+E32+E36+E26+E34</f>
        <v>1241</v>
      </c>
      <c r="F38" s="476">
        <f t="shared" si="0"/>
        <v>1674</v>
      </c>
      <c r="G38" s="177"/>
      <c r="H38" s="476">
        <f t="shared" si="0"/>
        <v>964</v>
      </c>
      <c r="I38" s="476">
        <f t="shared" si="0"/>
        <v>2171</v>
      </c>
      <c r="J38" s="476">
        <f t="shared" si="0"/>
        <v>3135</v>
      </c>
      <c r="K38" s="1194" t="s">
        <v>697</v>
      </c>
    </row>
    <row r="40" spans="1:11" ht="13.5" thickBot="1"/>
    <row r="41" spans="1:11" ht="13.5" thickBot="1">
      <c r="A41" s="2405" t="s">
        <v>1501</v>
      </c>
      <c r="B41" s="2405"/>
      <c r="C41" s="2405"/>
      <c r="D41" s="2405"/>
      <c r="E41" s="2405"/>
      <c r="F41" s="2405"/>
      <c r="G41" s="2405"/>
      <c r="H41" s="2405"/>
      <c r="I41" s="2405"/>
      <c r="J41" s="2405"/>
    </row>
    <row r="42" spans="1:11">
      <c r="A42" s="167"/>
      <c r="B42" s="167"/>
      <c r="C42" s="167"/>
      <c r="D42" s="168"/>
      <c r="E42" s="168"/>
      <c r="F42" s="168"/>
      <c r="G42" s="167"/>
      <c r="H42" s="168"/>
      <c r="I42" s="168"/>
      <c r="J42" s="168"/>
    </row>
    <row r="43" spans="1:11">
      <c r="A43" s="169"/>
      <c r="B43" s="2406" t="s">
        <v>2483</v>
      </c>
      <c r="C43" s="2406"/>
      <c r="D43" s="2406"/>
      <c r="E43" s="2406"/>
      <c r="F43" s="2406"/>
      <c r="G43" s="2406"/>
      <c r="H43" s="2406"/>
      <c r="I43" s="2406"/>
      <c r="J43" s="2406"/>
      <c r="K43" s="166"/>
    </row>
    <row r="44" spans="1:11">
      <c r="A44" s="169"/>
      <c r="B44" s="2406"/>
      <c r="C44" s="2406"/>
      <c r="D44" s="2406"/>
      <c r="E44" s="2406"/>
      <c r="F44" s="2406"/>
      <c r="G44" s="2406"/>
      <c r="H44" s="2406"/>
      <c r="I44" s="2406"/>
      <c r="J44" s="2406"/>
      <c r="K44" s="166"/>
    </row>
    <row r="45" spans="1:11">
      <c r="A45" s="169"/>
      <c r="B45" s="2404" t="s">
        <v>1523</v>
      </c>
      <c r="C45" s="2404"/>
      <c r="D45" s="2404"/>
      <c r="E45" s="2404"/>
      <c r="F45" s="2404"/>
      <c r="G45" s="2404"/>
      <c r="H45" s="2404"/>
      <c r="I45" s="2404"/>
      <c r="J45" s="2404"/>
      <c r="K45" s="880"/>
    </row>
    <row r="48" spans="1:11" ht="25.5" customHeight="1">
      <c r="A48" s="169"/>
      <c r="B48" s="2294" t="s">
        <v>1368</v>
      </c>
      <c r="C48" s="2379"/>
      <c r="D48" s="2379"/>
      <c r="E48" s="2379"/>
      <c r="F48" s="2379"/>
      <c r="G48" s="2379"/>
      <c r="H48" s="2379"/>
      <c r="I48" s="2379"/>
      <c r="J48" s="2379"/>
      <c r="K48" s="166"/>
    </row>
    <row r="49" spans="1:11">
      <c r="A49" s="169"/>
      <c r="B49" s="2288" t="s">
        <v>296</v>
      </c>
      <c r="C49" s="2289"/>
      <c r="D49" s="2289"/>
      <c r="E49" s="2289"/>
      <c r="F49" s="2289"/>
      <c r="G49" s="2289"/>
      <c r="H49" s="2289"/>
      <c r="I49" s="2289"/>
      <c r="J49" s="2302"/>
      <c r="K49" s="166"/>
    </row>
    <row r="50" spans="1:11">
      <c r="A50" s="169"/>
      <c r="B50" s="2288" t="s">
        <v>297</v>
      </c>
      <c r="C50" s="2289"/>
      <c r="D50" s="2289"/>
      <c r="E50" s="2289"/>
      <c r="F50" s="2289"/>
      <c r="G50" s="2289"/>
      <c r="H50" s="2289"/>
      <c r="I50" s="2289"/>
      <c r="J50" s="2302"/>
      <c r="K50" s="166"/>
    </row>
    <row r="51" spans="1:11">
      <c r="A51" s="169"/>
      <c r="B51" s="2288" t="s">
        <v>298</v>
      </c>
      <c r="C51" s="2289"/>
      <c r="D51" s="2289"/>
      <c r="E51" s="2289"/>
      <c r="F51" s="2289"/>
      <c r="G51" s="2289"/>
      <c r="H51" s="2289"/>
      <c r="I51" s="2289"/>
      <c r="J51" s="2302"/>
      <c r="K51" s="166"/>
    </row>
    <row r="52" spans="1:11">
      <c r="A52" s="169"/>
      <c r="B52" s="876"/>
      <c r="C52" s="58"/>
      <c r="D52" s="58"/>
      <c r="E52" s="58"/>
      <c r="F52" s="58"/>
      <c r="G52" s="58"/>
      <c r="H52" s="58"/>
      <c r="I52" s="58"/>
      <c r="J52" s="57"/>
      <c r="K52" s="166"/>
    </row>
    <row r="53" spans="1:11">
      <c r="A53" s="169"/>
      <c r="B53" s="2293" t="s">
        <v>293</v>
      </c>
      <c r="C53" s="2303"/>
      <c r="D53" s="2303"/>
      <c r="E53" s="2303"/>
      <c r="F53" s="2303"/>
      <c r="G53" s="2303"/>
      <c r="H53" s="2303"/>
      <c r="I53" s="2303"/>
      <c r="J53" s="57"/>
      <c r="K53" s="166"/>
    </row>
    <row r="54" spans="1:11">
      <c r="A54" s="169"/>
      <c r="B54" s="2290" t="s">
        <v>1371</v>
      </c>
      <c r="C54" s="2291"/>
      <c r="D54" s="2291"/>
      <c r="E54" s="2291"/>
      <c r="F54" s="2291"/>
      <c r="G54" s="2291"/>
      <c r="H54" s="2291"/>
      <c r="I54" s="2291"/>
      <c r="J54" s="57"/>
      <c r="K54" s="166"/>
    </row>
    <row r="55" spans="1:11">
      <c r="A55" s="169"/>
      <c r="B55" s="2290" t="s">
        <v>1372</v>
      </c>
      <c r="C55" s="2291"/>
      <c r="D55" s="2291"/>
      <c r="E55" s="2291"/>
      <c r="F55" s="2291"/>
      <c r="G55" s="2291"/>
      <c r="H55" s="2291"/>
      <c r="I55" s="2291"/>
      <c r="J55" s="57"/>
      <c r="K55" s="166"/>
    </row>
    <row r="57" spans="1:11" ht="14.25" customHeight="1" thickBot="1"/>
    <row r="58" spans="1:11" ht="70.5" customHeight="1" thickBot="1">
      <c r="A58" s="542"/>
      <c r="C58" s="138"/>
      <c r="D58" s="2402" t="s">
        <v>2484</v>
      </c>
      <c r="E58" s="2402"/>
      <c r="F58" s="2402"/>
    </row>
    <row r="59" spans="1:11" ht="26.25" thickBot="1">
      <c r="A59" s="542"/>
      <c r="D59" s="173" t="s">
        <v>748</v>
      </c>
      <c r="E59" s="174" t="s">
        <v>749</v>
      </c>
      <c r="F59" s="175" t="s">
        <v>768</v>
      </c>
    </row>
    <row r="60" spans="1:11">
      <c r="D60" s="1193">
        <v>1</v>
      </c>
      <c r="E60" s="1193">
        <v>2</v>
      </c>
      <c r="F60" s="1193">
        <v>0</v>
      </c>
      <c r="G60" s="1193" t="s">
        <v>699</v>
      </c>
    </row>
    <row r="61" spans="1:11">
      <c r="B61" s="2396" t="s">
        <v>177</v>
      </c>
      <c r="C61" s="2397"/>
      <c r="D61" s="1022">
        <v>4.75</v>
      </c>
      <c r="E61" s="1022">
        <v>1.5</v>
      </c>
      <c r="F61" s="478">
        <f>SUM(D61:E61)</f>
        <v>6.25</v>
      </c>
      <c r="G61" s="1194" t="s">
        <v>695</v>
      </c>
    </row>
    <row r="63" spans="1:11">
      <c r="B63" s="2396" t="s">
        <v>178</v>
      </c>
      <c r="C63" s="2397"/>
      <c r="D63" s="1022">
        <v>0</v>
      </c>
      <c r="E63" s="1022">
        <v>82.83</v>
      </c>
      <c r="F63" s="478">
        <f>SUM(D63:E63)</f>
        <v>82.83</v>
      </c>
      <c r="G63" s="1194" t="s">
        <v>179</v>
      </c>
    </row>
    <row r="65" spans="2:7">
      <c r="B65" s="2396" t="s">
        <v>180</v>
      </c>
      <c r="C65" s="2397"/>
      <c r="D65" s="1022">
        <v>0</v>
      </c>
      <c r="E65" s="1022">
        <v>0</v>
      </c>
      <c r="F65" s="478">
        <f>SUM(D65:E65)</f>
        <v>0</v>
      </c>
      <c r="G65" s="1194" t="s">
        <v>181</v>
      </c>
    </row>
    <row r="67" spans="2:7">
      <c r="B67" s="2396" t="s">
        <v>2296</v>
      </c>
      <c r="C67" s="2397"/>
      <c r="D67" s="1023">
        <v>0</v>
      </c>
      <c r="E67" s="1024">
        <v>0</v>
      </c>
      <c r="F67" s="479">
        <f>SUM(D67:E67)</f>
        <v>0</v>
      </c>
      <c r="G67" s="1194" t="s">
        <v>183</v>
      </c>
    </row>
    <row r="69" spans="2:7" ht="25.5" customHeight="1">
      <c r="B69" s="2398" t="s">
        <v>2297</v>
      </c>
      <c r="C69" s="2399"/>
      <c r="D69" s="1023">
        <v>5.29</v>
      </c>
      <c r="E69" s="1024">
        <v>4.58</v>
      </c>
      <c r="F69" s="479">
        <f>SUM(D69:E69)</f>
        <v>9.870000000000001</v>
      </c>
      <c r="G69" s="1194" t="s">
        <v>184</v>
      </c>
    </row>
    <row r="71" spans="2:7">
      <c r="B71" s="2398" t="s">
        <v>612</v>
      </c>
      <c r="C71" s="2399"/>
      <c r="D71" s="1023">
        <v>0</v>
      </c>
      <c r="E71" s="1024">
        <v>0</v>
      </c>
      <c r="F71" s="479">
        <f>SUM(D71:E71)</f>
        <v>0</v>
      </c>
      <c r="G71" s="1194" t="s">
        <v>2027</v>
      </c>
    </row>
    <row r="73" spans="2:7" ht="15" customHeight="1">
      <c r="B73" s="2398" t="s">
        <v>2298</v>
      </c>
      <c r="C73" s="2399"/>
      <c r="D73" s="1023">
        <v>0</v>
      </c>
      <c r="E73" s="1024">
        <v>0</v>
      </c>
      <c r="F73" s="479">
        <f>SUM(D73:E73)</f>
        <v>0</v>
      </c>
      <c r="G73" s="1194" t="s">
        <v>186</v>
      </c>
    </row>
    <row r="75" spans="2:7">
      <c r="B75" s="2396" t="s">
        <v>187</v>
      </c>
      <c r="C75" s="2397"/>
      <c r="D75" s="1024">
        <v>13.83</v>
      </c>
      <c r="E75" s="1024">
        <v>11.33</v>
      </c>
      <c r="F75" s="479">
        <f>SUM(D75:E75)</f>
        <v>25.16</v>
      </c>
      <c r="G75" s="1194" t="s">
        <v>1912</v>
      </c>
    </row>
    <row r="77" spans="2:7" ht="15" customHeight="1">
      <c r="B77" s="2398" t="s">
        <v>983</v>
      </c>
      <c r="C77" s="2399"/>
      <c r="D77" s="1025">
        <v>14</v>
      </c>
      <c r="E77" s="1024">
        <v>7.33</v>
      </c>
      <c r="F77" s="479">
        <f>SUM(D77:E77)</f>
        <v>21.33</v>
      </c>
      <c r="G77" s="1194" t="s">
        <v>982</v>
      </c>
    </row>
    <row r="79" spans="2:7">
      <c r="B79" s="2396" t="s">
        <v>1031</v>
      </c>
      <c r="C79" s="2397"/>
      <c r="D79" s="1025">
        <v>150.84</v>
      </c>
      <c r="E79" s="1024">
        <v>388.83</v>
      </c>
      <c r="F79" s="479">
        <f>SUM(D79:E79)</f>
        <v>539.66999999999996</v>
      </c>
      <c r="G79" s="1194" t="s">
        <v>2099</v>
      </c>
    </row>
    <row r="81" spans="2:7">
      <c r="B81" s="2396" t="s">
        <v>984</v>
      </c>
      <c r="C81" s="2397"/>
      <c r="D81" s="1024">
        <v>3.45</v>
      </c>
      <c r="E81" s="1024">
        <v>1.17</v>
      </c>
      <c r="F81" s="479">
        <f>SUM(D81:E81)</f>
        <v>4.62</v>
      </c>
      <c r="G81" s="1194" t="s">
        <v>2100</v>
      </c>
    </row>
    <row r="83" spans="2:7">
      <c r="B83" s="2400" t="s">
        <v>696</v>
      </c>
      <c r="C83" s="2401"/>
      <c r="D83" s="535">
        <f>D61+D63+D65+D67+D69+D71+D73+D75+D77+D79+D81</f>
        <v>192.16</v>
      </c>
      <c r="E83" s="535">
        <f>E61+E63+E65+E67+E69+E71+E73+E75+E77+E79+E81</f>
        <v>497.57</v>
      </c>
      <c r="F83" s="535">
        <f>F61+F63+F65+F67+F69+F71+F73+F75+F77+F79+F81</f>
        <v>689.7299999999999</v>
      </c>
      <c r="G83" s="1194" t="s">
        <v>697</v>
      </c>
    </row>
  </sheetData>
  <sheetProtection algorithmName="SHA-512" hashValue="V9PqgFiw5C7/LZKH3pSx5pW7Ixt2nwX5PH4e4UiNWcYeDsalAs22TyS69hZAnp9vrpfny6a9dMwbk50ZIv/qyQ==" saltValue="N5nHITthT/Oc0GKI6vtOcg==" spinCount="100000" sheet="1" objects="1" scenarios="1"/>
  <mergeCells count="44">
    <mergeCell ref="H13:J13"/>
    <mergeCell ref="D13:F13"/>
    <mergeCell ref="D1:E1"/>
    <mergeCell ref="A3:J3"/>
    <mergeCell ref="A5:J5"/>
    <mergeCell ref="A10:H10"/>
    <mergeCell ref="A9:H9"/>
    <mergeCell ref="A7:J7"/>
    <mergeCell ref="A8:J8"/>
    <mergeCell ref="B49:J49"/>
    <mergeCell ref="B45:J45"/>
    <mergeCell ref="A41:J41"/>
    <mergeCell ref="B43:J44"/>
    <mergeCell ref="B24:C24"/>
    <mergeCell ref="B26:C26"/>
    <mergeCell ref="B34:C34"/>
    <mergeCell ref="B30:C30"/>
    <mergeCell ref="B38:C38"/>
    <mergeCell ref="B28:C28"/>
    <mergeCell ref="B36:C36"/>
    <mergeCell ref="B32:C32"/>
    <mergeCell ref="B16:C16"/>
    <mergeCell ref="B20:C20"/>
    <mergeCell ref="B18:C18"/>
    <mergeCell ref="B22:C22"/>
    <mergeCell ref="B48:J48"/>
    <mergeCell ref="B61:C61"/>
    <mergeCell ref="B63:C63"/>
    <mergeCell ref="D58:F58"/>
    <mergeCell ref="B50:J50"/>
    <mergeCell ref="B51:J51"/>
    <mergeCell ref="B53:I53"/>
    <mergeCell ref="B54:I54"/>
    <mergeCell ref="B55:I55"/>
    <mergeCell ref="B65:C65"/>
    <mergeCell ref="B81:C81"/>
    <mergeCell ref="B79:C79"/>
    <mergeCell ref="B71:C71"/>
    <mergeCell ref="B83:C83"/>
    <mergeCell ref="B67:C67"/>
    <mergeCell ref="B69:C69"/>
    <mergeCell ref="B73:C73"/>
    <mergeCell ref="B75:C75"/>
    <mergeCell ref="B77:C77"/>
  </mergeCells>
  <dataValidations count="2">
    <dataValidation type="whole" allowBlank="1" showInputMessage="1" showErrorMessage="1" errorTitle="Erreur de saisie" error="Vous devez saisir une valeur entière" sqref="H36:I36 D36:E36 H34:I34 D34:E34 H32:I32 D32:E32 H30:I30 D30:E30 H28:I28 D28:E28 H26:I26 D26:E26 H24:I24 D24:E24 H22:I22 D22:E22 H20:I20 D20:E20 H18:I18 D18:E18 H16:I16 D16:E16">
      <formula1>0</formula1>
      <formula2>999999999999</formula2>
    </dataValidation>
    <dataValidation type="decimal" allowBlank="1" showInputMessage="1" showErrorMessage="1" errorTitle="Erreur de saisie" error="Vous devez saisir une valeur décimale" sqref="D61 E61 D63:E63 D65:E65 D67:E67 D69:E69 D71:E71 D73:E73 D75:E75 D77:E77 D79:E79 D81:E81">
      <formula1>0</formula1>
      <formula2>999999999999</formula2>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52" orientation="portrait" r:id="rId1"/>
  <headerFooter alignWithMargins="0">
    <oddFooter>&amp;LRSU 2020 - Présentation au CTP&amp;R&amp;P/&amp;N
&amp;A</oddFooter>
  </headerFooter>
  <rowBreaks count="1" manualBreakCount="1">
    <brk id="40" max="9" man="1"/>
  </rowBreaks>
</worksheet>
</file>

<file path=xl/worksheets/sheet3.xml><?xml version="1.0" encoding="utf-8"?>
<worksheet xmlns="http://schemas.openxmlformats.org/spreadsheetml/2006/main" xmlns:r="http://schemas.openxmlformats.org/officeDocument/2006/relationships">
  <sheetPr codeName="Feuil2">
    <pageSetUpPr fitToPage="1"/>
  </sheetPr>
  <dimension ref="A1:AB69"/>
  <sheetViews>
    <sheetView showGridLines="0" workbookViewId="0"/>
  </sheetViews>
  <sheetFormatPr baseColWidth="10" defaultColWidth="10.85546875" defaultRowHeight="12.75" customHeight="1"/>
  <cols>
    <col min="1" max="1" width="3.28515625" customWidth="1"/>
    <col min="2" max="3" width="2.85546875" customWidth="1"/>
    <col min="4" max="4" width="3" customWidth="1"/>
    <col min="5" max="5" width="2.85546875" customWidth="1"/>
    <col min="6" max="6" width="6.42578125" customWidth="1"/>
    <col min="7" max="15" width="2.85546875" customWidth="1"/>
    <col min="16" max="16" width="2.7109375" customWidth="1"/>
    <col min="17" max="20" width="2.85546875" customWidth="1"/>
    <col min="21" max="21" width="2.7109375" customWidth="1"/>
    <col min="22" max="24" width="2.85546875" customWidth="1"/>
    <col min="25" max="25" width="3" customWidth="1"/>
    <col min="26" max="27" width="2.85546875" customWidth="1"/>
    <col min="28" max="28" width="25.140625" customWidth="1"/>
  </cols>
  <sheetData>
    <row r="1" spans="1:28">
      <c r="A1" s="5"/>
      <c r="B1" s="5"/>
      <c r="C1" s="5"/>
      <c r="D1" s="5"/>
      <c r="E1" s="5"/>
      <c r="F1" s="5"/>
      <c r="G1" s="5"/>
      <c r="H1" s="5"/>
      <c r="I1" s="5"/>
      <c r="J1" s="5"/>
      <c r="K1" s="5"/>
      <c r="L1" s="5"/>
      <c r="M1" s="5"/>
      <c r="N1" s="5"/>
      <c r="O1" s="5"/>
      <c r="P1" s="5"/>
      <c r="Q1" s="5"/>
      <c r="R1" s="5"/>
      <c r="S1" s="5"/>
      <c r="T1" s="5"/>
      <c r="U1" s="5"/>
      <c r="V1" s="5"/>
      <c r="W1" s="5"/>
      <c r="X1" s="5"/>
      <c r="Y1" s="5"/>
      <c r="Z1" s="5"/>
      <c r="AA1" s="5"/>
      <c r="AB1" s="5"/>
    </row>
    <row r="2" spans="1:28">
      <c r="A2" s="11" t="s">
        <v>916</v>
      </c>
      <c r="B2" s="12"/>
      <c r="C2" s="12"/>
      <c r="D2" s="12"/>
      <c r="E2" s="12"/>
      <c r="F2" s="12"/>
      <c r="G2" s="12"/>
      <c r="H2" s="12"/>
      <c r="I2" s="12"/>
      <c r="J2" s="12"/>
      <c r="K2" s="12"/>
      <c r="L2" s="13"/>
      <c r="M2" s="14"/>
      <c r="N2" s="15"/>
      <c r="O2" s="15"/>
      <c r="P2" s="15"/>
      <c r="Q2" s="15"/>
      <c r="R2" s="15"/>
      <c r="S2" s="15"/>
      <c r="T2" s="15"/>
      <c r="U2" s="15"/>
      <c r="V2" s="15"/>
      <c r="W2" s="15"/>
      <c r="X2" s="15"/>
      <c r="Y2" s="15"/>
      <c r="Z2" s="15"/>
      <c r="AA2" s="15"/>
      <c r="AB2" s="15"/>
    </row>
    <row r="3" spans="1:28" ht="27.75" customHeight="1">
      <c r="A3" s="2208" t="s">
        <v>3005</v>
      </c>
      <c r="B3" s="2209"/>
      <c r="C3" s="2209"/>
      <c r="D3" s="2209"/>
      <c r="E3" s="2209"/>
      <c r="F3" s="2209"/>
      <c r="G3" s="2209"/>
      <c r="H3" s="2209"/>
      <c r="I3" s="2209"/>
      <c r="J3" s="2209"/>
      <c r="K3" s="2209"/>
      <c r="L3" s="2209"/>
      <c r="M3" s="2209"/>
      <c r="N3" s="2209"/>
      <c r="O3" s="2209"/>
      <c r="P3" s="2209"/>
      <c r="Q3" s="2209"/>
      <c r="R3" s="2209"/>
      <c r="S3" s="2209"/>
      <c r="T3" s="2209"/>
      <c r="U3" s="2209"/>
      <c r="V3" s="2209"/>
      <c r="W3" s="2209"/>
      <c r="X3" s="2209"/>
      <c r="Y3" s="2209"/>
      <c r="Z3" s="2209"/>
      <c r="AA3" s="2209"/>
      <c r="AB3" s="2209"/>
    </row>
    <row r="4" spans="1:28">
      <c r="A4" s="16"/>
      <c r="B4" s="17"/>
      <c r="C4" s="17"/>
      <c r="D4" s="17"/>
      <c r="E4" s="17"/>
      <c r="F4" s="17"/>
      <c r="G4" s="17"/>
      <c r="H4" s="17"/>
      <c r="I4" s="17"/>
      <c r="J4" s="17"/>
      <c r="K4" s="17"/>
      <c r="L4" s="18"/>
      <c r="M4" s="19"/>
      <c r="N4" s="20"/>
      <c r="O4" s="6"/>
      <c r="P4" s="6"/>
      <c r="Q4" s="6"/>
      <c r="R4" s="6"/>
      <c r="S4" s="6"/>
      <c r="T4" s="6"/>
      <c r="U4" s="6"/>
      <c r="V4" s="6"/>
      <c r="W4" s="6"/>
      <c r="X4" s="6"/>
      <c r="Y4" s="6"/>
      <c r="Z4" s="6"/>
      <c r="AA4" s="6"/>
      <c r="AB4" s="6"/>
    </row>
    <row r="5" spans="1:28">
      <c r="A5" s="5"/>
      <c r="B5" s="5"/>
      <c r="C5" s="5"/>
      <c r="D5" s="5"/>
      <c r="E5" s="5"/>
      <c r="F5" s="5"/>
      <c r="G5" s="5"/>
      <c r="H5" s="5"/>
      <c r="I5" s="5"/>
      <c r="J5" s="5"/>
      <c r="K5" s="5"/>
      <c r="L5" s="5"/>
      <c r="M5" s="5"/>
      <c r="N5" s="5"/>
      <c r="O5" s="5"/>
      <c r="P5" s="5"/>
      <c r="Q5" s="5"/>
      <c r="R5" s="5"/>
      <c r="S5" s="5"/>
      <c r="T5" s="5"/>
      <c r="U5" s="5"/>
      <c r="V5" s="5"/>
      <c r="W5" s="5"/>
      <c r="X5" s="5"/>
      <c r="Y5" s="5"/>
      <c r="Z5" s="5"/>
      <c r="AA5" s="5"/>
      <c r="AB5" s="5"/>
    </row>
    <row r="6" spans="1:28" ht="13.5" thickBot="1">
      <c r="A6" s="5" t="s">
        <v>917</v>
      </c>
      <c r="B6" s="5"/>
      <c r="C6" s="5"/>
      <c r="D6" s="5"/>
      <c r="E6" s="5"/>
      <c r="F6" s="5"/>
      <c r="G6" s="2210" t="s">
        <v>3006</v>
      </c>
      <c r="H6" s="2211"/>
      <c r="I6" s="2211"/>
      <c r="J6" s="2211"/>
      <c r="K6" s="2211"/>
      <c r="L6" s="2211"/>
      <c r="M6" s="2211"/>
      <c r="N6" s="2211"/>
      <c r="O6" s="2211"/>
      <c r="P6" s="2211"/>
      <c r="Q6" s="2211"/>
      <c r="R6" s="2211"/>
      <c r="S6" s="2211"/>
      <c r="T6" s="2211"/>
      <c r="U6" s="2211"/>
      <c r="V6" s="2211"/>
      <c r="W6" s="2211"/>
      <c r="X6" s="2211"/>
      <c r="Y6" s="2211"/>
      <c r="Z6" s="2211"/>
      <c r="AA6" s="2211"/>
      <c r="AB6" s="2212"/>
    </row>
    <row r="7" spans="1:28">
      <c r="A7" s="5"/>
      <c r="B7" s="5"/>
      <c r="C7" s="5"/>
      <c r="D7" s="5"/>
      <c r="E7" s="5"/>
      <c r="F7" s="6"/>
      <c r="G7" s="5"/>
      <c r="H7" s="5"/>
      <c r="I7" s="5"/>
      <c r="J7" s="5"/>
      <c r="K7" s="5"/>
      <c r="L7" s="5"/>
      <c r="M7" s="5"/>
      <c r="N7" s="5"/>
      <c r="O7" s="5"/>
      <c r="P7" s="5"/>
      <c r="Q7" s="5"/>
      <c r="R7" s="5"/>
      <c r="S7" s="5"/>
      <c r="T7" s="5"/>
      <c r="U7" s="5"/>
      <c r="V7" s="5"/>
      <c r="W7" s="5"/>
      <c r="X7" s="5"/>
      <c r="Y7" s="5"/>
      <c r="Z7" s="5"/>
      <c r="AA7" s="5"/>
      <c r="AB7" s="5"/>
    </row>
    <row r="8" spans="1:28" ht="13.5" thickBot="1">
      <c r="A8" s="5" t="s">
        <v>918</v>
      </c>
      <c r="B8" s="5"/>
      <c r="C8" s="5"/>
      <c r="D8" s="5"/>
      <c r="E8" s="5"/>
      <c r="F8" s="1088" t="s">
        <v>2027</v>
      </c>
      <c r="G8" s="6"/>
      <c r="H8" s="5"/>
      <c r="I8" s="5"/>
      <c r="J8" s="5"/>
      <c r="K8" s="5"/>
      <c r="L8" s="5"/>
      <c r="M8" s="5"/>
      <c r="N8" s="5"/>
      <c r="O8" s="5"/>
      <c r="P8" s="5" t="s">
        <v>919</v>
      </c>
      <c r="Q8" s="5"/>
      <c r="R8" s="5"/>
      <c r="S8" s="5"/>
      <c r="T8" s="2213" t="s">
        <v>3007</v>
      </c>
      <c r="U8" s="2214"/>
      <c r="V8" s="2214"/>
      <c r="W8" s="2214"/>
      <c r="X8" s="2214"/>
      <c r="Y8" s="2214"/>
      <c r="Z8" s="2214"/>
      <c r="AA8" s="5"/>
      <c r="AB8" s="5"/>
    </row>
    <row r="9" spans="1:28">
      <c r="A9" s="5"/>
      <c r="B9" s="5"/>
      <c r="C9" s="5"/>
      <c r="D9" s="5"/>
      <c r="E9" s="5"/>
      <c r="F9" s="5"/>
      <c r="G9" s="5"/>
      <c r="H9" s="5"/>
      <c r="I9" s="5"/>
      <c r="J9" s="5"/>
      <c r="K9" s="5"/>
      <c r="L9" s="5"/>
      <c r="M9" s="5"/>
      <c r="N9" s="5"/>
      <c r="O9" s="5"/>
      <c r="P9" s="5"/>
      <c r="Q9" s="5"/>
      <c r="R9" s="5"/>
      <c r="S9" s="5"/>
      <c r="T9" s="5"/>
      <c r="U9" s="5"/>
      <c r="V9" s="5"/>
      <c r="W9" s="5"/>
      <c r="X9" s="5"/>
      <c r="Y9" s="5"/>
      <c r="Z9" s="5"/>
      <c r="AA9" s="5"/>
      <c r="AB9" s="5"/>
    </row>
    <row r="10" spans="1:28" ht="13.5" thickBot="1">
      <c r="A10" s="5" t="s">
        <v>1904</v>
      </c>
      <c r="B10" s="5"/>
      <c r="C10" s="5"/>
      <c r="D10" s="5"/>
      <c r="E10" s="5"/>
      <c r="F10" s="647" t="s">
        <v>3008</v>
      </c>
      <c r="G10" s="5"/>
      <c r="H10" s="5"/>
      <c r="I10" s="5"/>
      <c r="J10" s="5"/>
      <c r="K10" s="5"/>
      <c r="L10" s="5"/>
      <c r="M10" s="5"/>
      <c r="N10" s="5"/>
      <c r="O10" s="5"/>
      <c r="P10" s="973" t="s">
        <v>610</v>
      </c>
      <c r="Q10" s="5"/>
      <c r="R10" s="5"/>
      <c r="S10" s="5"/>
      <c r="T10" s="2218" t="s">
        <v>3009</v>
      </c>
      <c r="U10" s="2219"/>
      <c r="V10" s="2219"/>
      <c r="W10" s="2219"/>
      <c r="X10" s="2219"/>
      <c r="Y10" s="2219"/>
      <c r="Z10" s="2219"/>
      <c r="AA10" s="2220"/>
      <c r="AB10" s="2221"/>
    </row>
    <row r="11" spans="1:28">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row>
    <row r="12" spans="1:28" ht="13.5" thickBot="1">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row>
    <row r="13" spans="1:28" ht="15">
      <c r="A13" s="2215" t="s">
        <v>2624</v>
      </c>
      <c r="B13" s="2216"/>
      <c r="C13" s="2216"/>
      <c r="D13" s="2216"/>
      <c r="E13" s="2216"/>
      <c r="F13" s="2216"/>
      <c r="G13" s="2216"/>
      <c r="H13" s="2216"/>
      <c r="I13" s="2216"/>
      <c r="J13" s="2216"/>
      <c r="K13" s="2216"/>
      <c r="L13" s="2216"/>
      <c r="M13" s="2216"/>
      <c r="N13" s="2216"/>
      <c r="O13" s="2216"/>
      <c r="P13" s="2216"/>
      <c r="Q13" s="2216"/>
      <c r="R13" s="2216"/>
      <c r="S13" s="2216"/>
      <c r="T13" s="2216"/>
      <c r="U13" s="2216"/>
      <c r="V13" s="2216"/>
      <c r="W13" s="2216"/>
      <c r="X13" s="2216"/>
      <c r="Y13" s="2216"/>
      <c r="Z13" s="2216"/>
      <c r="AA13" s="2216"/>
      <c r="AB13" s="2217"/>
    </row>
    <row r="14" spans="1:28" ht="15">
      <c r="A14" s="2205" t="s">
        <v>2625</v>
      </c>
      <c r="B14" s="2206"/>
      <c r="C14" s="2206"/>
      <c r="D14" s="2206"/>
      <c r="E14" s="2206"/>
      <c r="F14" s="2206"/>
      <c r="G14" s="2206"/>
      <c r="H14" s="2206"/>
      <c r="I14" s="2206"/>
      <c r="J14" s="2206"/>
      <c r="K14" s="2206"/>
      <c r="L14" s="2206"/>
      <c r="M14" s="2206"/>
      <c r="N14" s="2206"/>
      <c r="O14" s="2206"/>
      <c r="P14" s="2206"/>
      <c r="Q14" s="2206"/>
      <c r="R14" s="2206"/>
      <c r="S14" s="2206"/>
      <c r="T14" s="2206"/>
      <c r="U14" s="2206"/>
      <c r="V14" s="2206"/>
      <c r="W14" s="2206"/>
      <c r="X14" s="2206"/>
      <c r="Y14" s="2206"/>
      <c r="Z14" s="2206"/>
      <c r="AA14" s="2206"/>
      <c r="AB14" s="2207"/>
    </row>
    <row r="15" spans="1:28" ht="15">
      <c r="A15" s="2205" t="s">
        <v>2607</v>
      </c>
      <c r="B15" s="2206"/>
      <c r="C15" s="2206"/>
      <c r="D15" s="2206"/>
      <c r="E15" s="2206"/>
      <c r="F15" s="2206"/>
      <c r="G15" s="2206"/>
      <c r="H15" s="2206"/>
      <c r="I15" s="2206"/>
      <c r="J15" s="2206"/>
      <c r="K15" s="2206"/>
      <c r="L15" s="2206"/>
      <c r="M15" s="2206"/>
      <c r="N15" s="2206"/>
      <c r="O15" s="2206"/>
      <c r="P15" s="2206"/>
      <c r="Q15" s="2206"/>
      <c r="R15" s="2206"/>
      <c r="S15" s="2206"/>
      <c r="T15" s="2206"/>
      <c r="U15" s="2206"/>
      <c r="V15" s="2206"/>
      <c r="W15" s="2206"/>
      <c r="X15" s="2206"/>
      <c r="Y15" s="2206"/>
      <c r="Z15" s="2206"/>
      <c r="AA15" s="2206"/>
      <c r="AB15" s="2207"/>
    </row>
    <row r="16" spans="1:28">
      <c r="A16" s="1313"/>
      <c r="B16" s="1311"/>
      <c r="C16" s="1311"/>
      <c r="D16" s="1311"/>
      <c r="E16" s="1311"/>
      <c r="F16" s="1311"/>
      <c r="G16" s="1311"/>
      <c r="H16" s="1311"/>
      <c r="I16" s="1311"/>
      <c r="J16" s="1311"/>
      <c r="K16" s="1311"/>
      <c r="L16" s="1311"/>
      <c r="M16" s="1311"/>
      <c r="N16" s="1311"/>
      <c r="O16" s="1311"/>
      <c r="P16" s="1311"/>
      <c r="Q16" s="1311"/>
      <c r="R16" s="1311"/>
      <c r="S16" s="1311"/>
      <c r="T16" s="1311"/>
      <c r="U16" s="1311"/>
      <c r="V16" s="1311"/>
      <c r="W16" s="1311"/>
      <c r="X16" s="1311"/>
      <c r="Y16" s="1311"/>
      <c r="Z16" s="1311"/>
      <c r="AA16" s="1311"/>
      <c r="AB16" s="1314"/>
    </row>
    <row r="17" spans="1:28" ht="15">
      <c r="A17" s="2205" t="s">
        <v>2626</v>
      </c>
      <c r="B17" s="2206"/>
      <c r="C17" s="2206"/>
      <c r="D17" s="2206"/>
      <c r="E17" s="2206"/>
      <c r="F17" s="2206"/>
      <c r="G17" s="2206"/>
      <c r="H17" s="2206"/>
      <c r="I17" s="2206"/>
      <c r="J17" s="2206"/>
      <c r="K17" s="2206"/>
      <c r="L17" s="2206"/>
      <c r="M17" s="2206"/>
      <c r="N17" s="2206"/>
      <c r="O17" s="2206"/>
      <c r="P17" s="2206"/>
      <c r="Q17" s="2206"/>
      <c r="R17" s="2206"/>
      <c r="S17" s="2206"/>
      <c r="T17" s="2206"/>
      <c r="U17" s="2206"/>
      <c r="V17" s="2206"/>
      <c r="W17" s="2206"/>
      <c r="X17" s="2206"/>
      <c r="Y17" s="2206"/>
      <c r="Z17" s="2206"/>
      <c r="AA17" s="2206"/>
      <c r="AB17" s="2207"/>
    </row>
    <row r="18" spans="1:28">
      <c r="A18" s="1313"/>
      <c r="B18" s="1311"/>
      <c r="C18" s="1311"/>
      <c r="D18" s="1311"/>
      <c r="E18" s="1311"/>
      <c r="F18" s="1311"/>
      <c r="G18" s="1311"/>
      <c r="H18" s="1311"/>
      <c r="I18" s="1311"/>
      <c r="J18" s="1311"/>
      <c r="K18" s="1311"/>
      <c r="L18" s="1311"/>
      <c r="M18" s="1311"/>
      <c r="N18" s="1311"/>
      <c r="O18" s="1311"/>
      <c r="P18" s="1311"/>
      <c r="Q18" s="1311"/>
      <c r="R18" s="1311"/>
      <c r="S18" s="1311"/>
      <c r="T18" s="1311"/>
      <c r="U18" s="1311"/>
      <c r="V18" s="1311"/>
      <c r="W18" s="1311"/>
      <c r="X18" s="1311"/>
      <c r="Y18" s="1311"/>
      <c r="Z18" s="1311"/>
      <c r="AA18" s="1311"/>
      <c r="AB18" s="1314"/>
    </row>
    <row r="19" spans="1:28" ht="15.75" customHeight="1">
      <c r="A19" s="2230" t="s">
        <v>2629</v>
      </c>
      <c r="B19" s="2231"/>
      <c r="C19" s="2231"/>
      <c r="D19" s="2231"/>
      <c r="E19" s="2231"/>
      <c r="F19" s="2231"/>
      <c r="G19" s="2231"/>
      <c r="H19" s="2231"/>
      <c r="I19" s="2231"/>
      <c r="J19" s="2231"/>
      <c r="K19" s="2231"/>
      <c r="L19" s="2231"/>
      <c r="M19" s="2231"/>
      <c r="N19" s="2231"/>
      <c r="O19" s="2231"/>
      <c r="P19" s="2231"/>
      <c r="Q19" s="2231"/>
      <c r="R19" s="2231"/>
      <c r="S19" s="2231"/>
      <c r="T19" s="2231"/>
      <c r="U19" s="2231"/>
      <c r="V19" s="2231"/>
      <c r="W19" s="2231"/>
      <c r="X19" s="2231"/>
      <c r="Y19" s="2231"/>
      <c r="Z19" s="2231"/>
      <c r="AA19" s="2231"/>
      <c r="AB19" s="2232"/>
    </row>
    <row r="20" spans="1:28" ht="15" customHeight="1">
      <c r="A20" s="2230"/>
      <c r="B20" s="2231"/>
      <c r="C20" s="2231"/>
      <c r="D20" s="2231"/>
      <c r="E20" s="2231"/>
      <c r="F20" s="2231"/>
      <c r="G20" s="2231"/>
      <c r="H20" s="2231"/>
      <c r="I20" s="2231"/>
      <c r="J20" s="2231"/>
      <c r="K20" s="2231"/>
      <c r="L20" s="2231"/>
      <c r="M20" s="2231"/>
      <c r="N20" s="2231"/>
      <c r="O20" s="2231"/>
      <c r="P20" s="2231"/>
      <c r="Q20" s="2231"/>
      <c r="R20" s="2231"/>
      <c r="S20" s="2231"/>
      <c r="T20" s="2231"/>
      <c r="U20" s="2231"/>
      <c r="V20" s="2231"/>
      <c r="W20" s="2231"/>
      <c r="X20" s="2231"/>
      <c r="Y20" s="2231"/>
      <c r="Z20" s="2231"/>
      <c r="AA20" s="2231"/>
      <c r="AB20" s="2232"/>
    </row>
    <row r="21" spans="1:28" ht="15" customHeight="1" thickBot="1">
      <c r="A21" s="2233"/>
      <c r="B21" s="2234"/>
      <c r="C21" s="2234"/>
      <c r="D21" s="2234"/>
      <c r="E21" s="2234"/>
      <c r="F21" s="2234"/>
      <c r="G21" s="2234"/>
      <c r="H21" s="2234"/>
      <c r="I21" s="2234"/>
      <c r="J21" s="2234"/>
      <c r="K21" s="2234"/>
      <c r="L21" s="2234"/>
      <c r="M21" s="2234"/>
      <c r="N21" s="2234"/>
      <c r="O21" s="2234"/>
      <c r="P21" s="2234"/>
      <c r="Q21" s="2234"/>
      <c r="R21" s="2234"/>
      <c r="S21" s="2234"/>
      <c r="T21" s="2234"/>
      <c r="U21" s="2234"/>
      <c r="V21" s="2234"/>
      <c r="W21" s="2234"/>
      <c r="X21" s="2234"/>
      <c r="Y21" s="2234"/>
      <c r="Z21" s="2234"/>
      <c r="AA21" s="2234"/>
      <c r="AB21" s="2235"/>
    </row>
    <row r="22" spans="1:28">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row>
    <row r="23" spans="1:28" ht="15.75">
      <c r="A23" s="2223" t="s">
        <v>2026</v>
      </c>
      <c r="B23" s="2223"/>
      <c r="C23" s="2223"/>
      <c r="D23" s="2223"/>
      <c r="E23" s="2223"/>
      <c r="F23" s="2223"/>
      <c r="G23" s="2223"/>
      <c r="H23" s="2223"/>
      <c r="I23" s="2223"/>
      <c r="J23" s="2223"/>
      <c r="K23" s="2223"/>
      <c r="L23" s="2223"/>
      <c r="M23" s="2223"/>
      <c r="N23" s="2223"/>
      <c r="O23" s="2223"/>
      <c r="P23" s="2223"/>
      <c r="Q23" s="2223"/>
      <c r="R23" s="2223"/>
      <c r="S23" s="2223"/>
      <c r="T23" s="2223"/>
      <c r="U23" s="2223"/>
      <c r="V23" s="2223"/>
      <c r="W23" s="2223"/>
      <c r="X23" s="2223"/>
      <c r="Y23" s="2223"/>
      <c r="Z23" s="2223"/>
      <c r="AA23" s="23"/>
      <c r="AB23" s="23"/>
    </row>
    <row r="24" spans="1:28" ht="1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row>
    <row r="25" spans="1:28">
      <c r="A25" s="24"/>
      <c r="B25" s="24"/>
      <c r="C25" s="24"/>
      <c r="D25" s="24"/>
      <c r="E25" s="24"/>
      <c r="F25" s="24"/>
      <c r="G25" s="24"/>
      <c r="H25" s="24"/>
      <c r="I25" s="24"/>
      <c r="J25" s="24"/>
      <c r="K25" s="24"/>
      <c r="L25" s="25"/>
      <c r="M25" s="26"/>
      <c r="N25" s="6"/>
      <c r="O25" s="6"/>
      <c r="P25" s="6"/>
      <c r="Q25" s="6"/>
      <c r="R25" s="6"/>
      <c r="S25" s="6"/>
      <c r="T25" s="6"/>
      <c r="U25" s="6"/>
      <c r="V25" s="6"/>
      <c r="W25" s="6"/>
      <c r="X25" s="6"/>
      <c r="Y25" s="6"/>
      <c r="Z25" s="6"/>
      <c r="AA25" s="5"/>
      <c r="AB25" s="5"/>
    </row>
    <row r="26" spans="1:28" ht="13.5" thickBot="1">
      <c r="A26" s="24" t="s">
        <v>1905</v>
      </c>
      <c r="B26" s="24"/>
      <c r="C26" s="24"/>
      <c r="D26" s="24"/>
      <c r="E26" s="24"/>
      <c r="F26" s="24"/>
      <c r="G26" s="24"/>
      <c r="H26" s="2224" t="s">
        <v>3010</v>
      </c>
      <c r="I26" s="2225"/>
      <c r="J26" s="2225"/>
      <c r="K26" s="2225"/>
      <c r="L26" s="2225"/>
      <c r="M26" s="2225"/>
      <c r="N26" s="2225"/>
      <c r="O26" s="2225"/>
      <c r="P26" s="2225"/>
      <c r="Q26" s="2226"/>
      <c r="R26" s="6"/>
      <c r="S26" s="6"/>
      <c r="T26" s="6"/>
      <c r="U26" s="6"/>
      <c r="V26" s="6"/>
      <c r="W26" s="6"/>
      <c r="X26" s="6"/>
      <c r="Y26" s="6"/>
      <c r="Z26" s="6"/>
      <c r="AA26" s="5"/>
      <c r="AB26" s="5"/>
    </row>
    <row r="27" spans="1:28">
      <c r="A27" s="24"/>
      <c r="B27" s="24"/>
      <c r="C27" s="24"/>
      <c r="D27" s="24"/>
      <c r="E27" s="24"/>
      <c r="F27" s="24"/>
      <c r="G27" s="24"/>
      <c r="H27" s="24"/>
      <c r="I27" s="24"/>
      <c r="J27" s="24"/>
      <c r="K27" s="27"/>
      <c r="L27" s="5"/>
      <c r="M27" s="5"/>
      <c r="N27" s="6"/>
      <c r="O27" s="6"/>
      <c r="P27" s="6"/>
      <c r="Q27" s="6"/>
      <c r="R27" s="6"/>
      <c r="S27" s="6"/>
      <c r="T27" s="6"/>
      <c r="U27" s="6"/>
      <c r="V27" s="6"/>
      <c r="W27" s="6"/>
      <c r="X27" s="6"/>
      <c r="Y27" s="6"/>
      <c r="Z27" s="6"/>
      <c r="AA27" s="6"/>
      <c r="AB27" s="5"/>
    </row>
    <row r="28" spans="1:28">
      <c r="A28" s="5"/>
      <c r="B28" s="5"/>
      <c r="C28" s="5"/>
      <c r="D28" s="5"/>
      <c r="E28" s="5"/>
      <c r="F28" s="5"/>
      <c r="G28" s="5"/>
      <c r="H28" s="5"/>
      <c r="I28" s="5"/>
      <c r="J28" s="5"/>
      <c r="K28" s="5"/>
      <c r="L28" s="5"/>
      <c r="M28" s="5"/>
      <c r="N28" s="6"/>
      <c r="O28" s="6"/>
      <c r="P28" s="5"/>
      <c r="Q28" s="5"/>
      <c r="R28" s="5"/>
      <c r="S28" s="5"/>
      <c r="T28" s="5"/>
      <c r="U28" s="5"/>
      <c r="V28" s="5"/>
      <c r="W28" s="5"/>
      <c r="X28" s="5"/>
      <c r="Y28" s="5"/>
      <c r="Z28" s="5"/>
      <c r="AA28" s="5"/>
      <c r="AB28" s="5"/>
    </row>
    <row r="29" spans="1:28" ht="18" customHeight="1" thickBot="1">
      <c r="A29" s="40" t="s">
        <v>1906</v>
      </c>
      <c r="B29" s="28"/>
      <c r="C29" s="28"/>
      <c r="D29" s="28"/>
      <c r="E29" s="28"/>
      <c r="F29" s="28"/>
      <c r="G29" s="28"/>
      <c r="H29" s="2227" t="s">
        <v>135</v>
      </c>
      <c r="I29" s="2228"/>
      <c r="J29" s="2228"/>
      <c r="K29" s="2228"/>
      <c r="L29" s="2228"/>
      <c r="M29" s="2228"/>
      <c r="N29" s="2228"/>
      <c r="O29" s="2228"/>
      <c r="P29" s="2228"/>
      <c r="Q29" s="2228"/>
      <c r="R29" s="2228"/>
      <c r="S29" s="2228"/>
      <c r="T29" s="2228"/>
      <c r="U29" s="2228"/>
      <c r="V29" s="2228"/>
      <c r="W29" s="2228"/>
      <c r="X29" s="2228"/>
      <c r="Y29" s="2228"/>
      <c r="Z29" s="2228"/>
      <c r="AA29" s="2228"/>
      <c r="AB29" s="2229"/>
    </row>
    <row r="30" spans="1:28">
      <c r="A30" s="365"/>
      <c r="B30" s="5"/>
      <c r="C30" s="5"/>
      <c r="D30" s="5"/>
      <c r="E30" s="5"/>
      <c r="F30" s="5"/>
      <c r="G30" s="5"/>
      <c r="H30" s="5"/>
      <c r="I30" s="5"/>
      <c r="J30" s="5"/>
      <c r="K30" s="5"/>
      <c r="L30" s="5"/>
      <c r="M30" s="5"/>
      <c r="N30" s="6"/>
      <c r="O30" s="6"/>
      <c r="P30" s="5"/>
      <c r="Q30" s="5"/>
      <c r="R30" s="28"/>
      <c r="S30" s="5"/>
      <c r="T30" s="5"/>
      <c r="U30" s="5"/>
      <c r="V30" s="5"/>
      <c r="W30" s="5"/>
      <c r="X30" s="5"/>
      <c r="Y30" s="5"/>
      <c r="Z30" s="5"/>
      <c r="AA30" s="5"/>
      <c r="AB30" s="5"/>
    </row>
    <row r="31" spans="1:28">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row>
    <row r="32" spans="1:28" ht="13.5" customHeight="1">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row>
    <row r="33" spans="1:28">
      <c r="A33" s="31" t="s">
        <v>62</v>
      </c>
      <c r="B33" s="32"/>
      <c r="C33" s="32"/>
      <c r="D33" s="32"/>
      <c r="E33" s="32"/>
      <c r="F33" s="32"/>
      <c r="G33" s="32"/>
      <c r="H33" s="32"/>
      <c r="I33" s="32"/>
      <c r="J33" s="32"/>
      <c r="K33" s="32"/>
      <c r="L33" s="32"/>
      <c r="M33" s="32"/>
      <c r="N33" s="32"/>
      <c r="O33" s="32"/>
      <c r="P33" s="32"/>
      <c r="Q33" s="32"/>
      <c r="R33" s="32"/>
      <c r="S33" s="32"/>
      <c r="T33" s="32"/>
      <c r="U33" s="33"/>
      <c r="V33" s="32"/>
      <c r="W33" s="32"/>
      <c r="X33" s="32"/>
      <c r="Y33" s="34"/>
      <c r="Z33" s="32"/>
      <c r="AA33" s="35"/>
      <c r="AB33" s="35"/>
    </row>
    <row r="34" spans="1:28">
      <c r="A34" s="32"/>
      <c r="B34" s="32"/>
      <c r="C34" s="32"/>
      <c r="D34" s="32"/>
      <c r="E34" s="32"/>
      <c r="F34" s="32"/>
      <c r="G34" s="32"/>
      <c r="H34" s="32"/>
      <c r="I34" s="32"/>
      <c r="J34" s="32"/>
      <c r="K34" s="32"/>
      <c r="L34" s="32"/>
      <c r="M34" s="32"/>
      <c r="N34" s="32"/>
      <c r="O34" s="32"/>
      <c r="P34" s="32"/>
      <c r="Q34" s="32"/>
      <c r="R34" s="32"/>
      <c r="S34" s="32"/>
      <c r="T34" s="32"/>
      <c r="U34" s="33"/>
      <c r="V34" s="32"/>
      <c r="W34" s="32"/>
      <c r="X34" s="32"/>
      <c r="Y34" s="34"/>
      <c r="Z34" s="32"/>
      <c r="AA34" s="35"/>
      <c r="AB34" s="35"/>
    </row>
    <row r="35" spans="1:28" ht="33.75">
      <c r="A35" s="36" t="s">
        <v>2140</v>
      </c>
      <c r="B35" s="37"/>
      <c r="C35" s="37"/>
      <c r="D35" s="37"/>
      <c r="E35" s="37"/>
      <c r="F35" s="37"/>
      <c r="G35" s="37"/>
      <c r="H35" s="37"/>
      <c r="I35" s="37"/>
      <c r="J35" s="37"/>
      <c r="K35" s="37"/>
      <c r="L35" s="37"/>
      <c r="M35" s="37"/>
      <c r="N35" s="37"/>
      <c r="O35" s="37"/>
      <c r="P35" s="37"/>
      <c r="Q35" s="37"/>
      <c r="R35" s="37"/>
      <c r="S35" s="37"/>
      <c r="T35" s="37"/>
      <c r="U35" s="37"/>
      <c r="V35" s="37"/>
      <c r="W35" s="37"/>
      <c r="X35" s="37"/>
      <c r="Y35" s="38" t="s">
        <v>2141</v>
      </c>
      <c r="Z35" s="39"/>
      <c r="AA35" s="31" t="s">
        <v>2142</v>
      </c>
      <c r="AB35" s="40"/>
    </row>
    <row r="36" spans="1:28" ht="13.5" thickBot="1">
      <c r="A36" s="32"/>
      <c r="B36" s="32"/>
      <c r="C36" s="32"/>
      <c r="D36" s="32"/>
      <c r="E36" s="32"/>
      <c r="F36" s="32"/>
      <c r="G36" s="32"/>
      <c r="H36" s="32"/>
      <c r="I36" s="32"/>
      <c r="J36" s="32"/>
      <c r="K36" s="32"/>
      <c r="L36" s="32"/>
      <c r="M36" s="32"/>
      <c r="N36" s="32"/>
      <c r="O36" s="32"/>
      <c r="P36" s="32"/>
      <c r="Q36" s="32"/>
      <c r="R36" s="32"/>
      <c r="S36" s="32"/>
      <c r="T36" s="32"/>
      <c r="U36" s="33"/>
      <c r="V36" s="32"/>
      <c r="W36" s="32"/>
      <c r="X36" s="32"/>
      <c r="Y36" s="34"/>
      <c r="Z36" s="32"/>
      <c r="AA36" s="35"/>
      <c r="AB36" s="35"/>
    </row>
    <row r="37" spans="1:28">
      <c r="A37" s="25" t="s">
        <v>2143</v>
      </c>
      <c r="B37" s="32"/>
      <c r="C37" s="32"/>
      <c r="D37" s="32"/>
      <c r="E37" s="32"/>
      <c r="F37" s="32"/>
      <c r="G37" s="32"/>
      <c r="H37" s="32"/>
      <c r="I37" s="32"/>
      <c r="J37" s="32"/>
      <c r="K37" s="32"/>
      <c r="L37" s="32"/>
      <c r="M37" s="32"/>
      <c r="N37" s="32"/>
      <c r="O37" s="32"/>
      <c r="P37" s="32"/>
      <c r="Q37" s="32"/>
      <c r="R37" s="32"/>
      <c r="S37" s="32"/>
      <c r="T37" s="32"/>
      <c r="U37" s="33"/>
      <c r="V37" s="32"/>
      <c r="W37" s="32"/>
      <c r="X37" s="32"/>
      <c r="Y37" s="563"/>
      <c r="Z37" s="32"/>
      <c r="AA37" s="563" t="s">
        <v>2230</v>
      </c>
      <c r="AB37" s="35"/>
    </row>
    <row r="38" spans="1:28">
      <c r="A38" s="32"/>
      <c r="B38" s="32"/>
      <c r="C38" s="32"/>
      <c r="D38" s="32"/>
      <c r="E38" s="32"/>
      <c r="F38" s="32"/>
      <c r="G38" s="32"/>
      <c r="H38" s="32"/>
      <c r="I38" s="32"/>
      <c r="J38" s="32"/>
      <c r="K38" s="32"/>
      <c r="L38" s="32"/>
      <c r="M38" s="32"/>
      <c r="N38" s="32"/>
      <c r="O38" s="32"/>
      <c r="P38" s="32"/>
      <c r="Q38" s="32"/>
      <c r="R38" s="32"/>
      <c r="S38" s="32"/>
      <c r="T38" s="32"/>
      <c r="U38" s="33"/>
      <c r="V38" s="32"/>
      <c r="W38" s="32"/>
      <c r="X38" s="32"/>
      <c r="Y38" s="34"/>
      <c r="Z38" s="32"/>
      <c r="AA38" s="35"/>
      <c r="AB38" s="35"/>
    </row>
    <row r="39" spans="1:28">
      <c r="A39" s="25" t="s">
        <v>1322</v>
      </c>
      <c r="B39" s="32"/>
      <c r="C39" s="200"/>
      <c r="D39" s="200"/>
      <c r="E39" s="200"/>
      <c r="F39" s="200"/>
      <c r="G39" s="200"/>
      <c r="H39" s="200"/>
      <c r="I39" s="200"/>
      <c r="J39" s="200"/>
      <c r="K39" s="200"/>
      <c r="L39" s="200"/>
      <c r="M39" s="32"/>
      <c r="N39" s="32"/>
      <c r="O39" s="32"/>
      <c r="P39" s="32"/>
      <c r="Q39" s="32"/>
      <c r="R39" s="32"/>
      <c r="S39" s="32"/>
      <c r="T39" s="32"/>
      <c r="U39" s="33"/>
      <c r="V39" s="32"/>
      <c r="W39" s="32"/>
      <c r="X39" s="32"/>
      <c r="Y39" s="563" t="s">
        <v>2230</v>
      </c>
      <c r="Z39" s="32"/>
      <c r="AA39" s="563"/>
      <c r="AB39" s="35"/>
    </row>
    <row r="40" spans="1:28">
      <c r="A40" s="32"/>
      <c r="B40" s="32"/>
      <c r="C40" s="32"/>
      <c r="D40" s="32"/>
      <c r="E40" s="32"/>
      <c r="F40" s="32"/>
      <c r="G40" s="32"/>
      <c r="H40" s="32"/>
      <c r="I40" s="32"/>
      <c r="J40" s="32"/>
      <c r="K40" s="32"/>
      <c r="L40" s="32"/>
      <c r="M40" s="32"/>
      <c r="N40" s="32"/>
      <c r="O40" s="32"/>
      <c r="P40" s="32"/>
      <c r="Q40" s="32"/>
      <c r="R40" s="32"/>
      <c r="S40" s="32"/>
      <c r="T40" s="32"/>
      <c r="U40" s="33"/>
      <c r="V40" s="32"/>
      <c r="W40" s="32"/>
      <c r="X40" s="32"/>
      <c r="Y40" s="34"/>
      <c r="Z40" s="32"/>
      <c r="AA40" s="35"/>
      <c r="AB40" s="35"/>
    </row>
    <row r="41" spans="1:28">
      <c r="A41" s="15"/>
      <c r="B41" s="15"/>
      <c r="C41" s="15"/>
      <c r="D41" s="15"/>
      <c r="E41" s="15"/>
      <c r="F41" s="15"/>
      <c r="G41" s="15"/>
      <c r="H41" s="15"/>
      <c r="I41" s="15"/>
      <c r="J41" s="15"/>
      <c r="K41" s="15"/>
      <c r="L41" s="15"/>
      <c r="M41" s="15"/>
      <c r="N41" s="15"/>
      <c r="O41" s="15"/>
      <c r="P41" s="15"/>
      <c r="Q41" s="15"/>
      <c r="R41" s="15"/>
      <c r="S41" s="15"/>
      <c r="T41" s="15"/>
      <c r="U41" s="41"/>
      <c r="V41" s="15"/>
      <c r="W41" s="15"/>
      <c r="X41" s="15"/>
      <c r="Y41" s="15"/>
      <c r="Z41" s="15"/>
      <c r="AA41" s="5"/>
      <c r="AB41" s="5"/>
    </row>
    <row r="42" spans="1:28">
      <c r="A42" s="5"/>
      <c r="B42" s="5"/>
      <c r="C42" s="5"/>
      <c r="D42" s="5"/>
      <c r="E42" s="5"/>
      <c r="F42" s="5"/>
      <c r="G42" s="5"/>
      <c r="H42" s="5"/>
      <c r="I42" s="5"/>
      <c r="J42" s="5"/>
      <c r="K42" s="5"/>
      <c r="L42" s="5"/>
      <c r="M42" s="5"/>
      <c r="N42" s="5"/>
      <c r="O42" s="5"/>
      <c r="P42" s="5"/>
      <c r="Q42" s="6"/>
      <c r="R42" s="6"/>
      <c r="S42" s="6"/>
      <c r="T42" s="5"/>
      <c r="U42" s="5"/>
      <c r="V42" s="5"/>
      <c r="W42" s="5"/>
      <c r="X42" s="5"/>
      <c r="Y42" s="5"/>
      <c r="Z42" s="5"/>
      <c r="AA42" s="5"/>
      <c r="AB42" s="5"/>
    </row>
    <row r="43" spans="1:28" ht="34.5" thickBot="1">
      <c r="A43" s="31" t="s">
        <v>2144</v>
      </c>
      <c r="B43" s="15"/>
      <c r="C43" s="15"/>
      <c r="D43" s="15"/>
      <c r="E43" s="15"/>
      <c r="F43" s="15"/>
      <c r="G43" s="15"/>
      <c r="H43" s="15"/>
      <c r="I43" s="15"/>
      <c r="J43" s="15"/>
      <c r="K43" s="15"/>
      <c r="L43" s="15"/>
      <c r="M43" s="15"/>
      <c r="N43" s="15"/>
      <c r="O43" s="15"/>
      <c r="P43" s="15"/>
      <c r="Q43" s="42"/>
      <c r="R43" s="41"/>
      <c r="S43" s="41"/>
      <c r="T43" s="41"/>
      <c r="U43" s="41"/>
      <c r="V43" s="2222">
        <v>0</v>
      </c>
      <c r="W43" s="2222"/>
      <c r="X43" s="2222"/>
      <c r="Y43" s="2222"/>
      <c r="Z43" s="15"/>
      <c r="AA43" s="15"/>
      <c r="AB43" s="15"/>
    </row>
    <row r="44" spans="1:28"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c r="A48" s="561" t="s">
        <v>934</v>
      </c>
      <c r="B48" s="562"/>
      <c r="C48" s="562"/>
      <c r="D48" s="562"/>
      <c r="E48" s="562"/>
      <c r="F48" s="562"/>
      <c r="G48" s="562"/>
      <c r="H48" s="562"/>
      <c r="I48" s="562"/>
      <c r="J48" s="562"/>
      <c r="K48" s="562"/>
      <c r="L48" s="562"/>
      <c r="M48" s="562"/>
      <c r="N48" s="562"/>
      <c r="O48" s="562"/>
      <c r="P48" s="562"/>
      <c r="Q48" s="562"/>
      <c r="R48" s="562"/>
      <c r="S48" s="562"/>
      <c r="T48" s="562"/>
      <c r="U48" s="562"/>
      <c r="V48" s="562"/>
      <c r="W48" s="562"/>
      <c r="X48" s="562"/>
      <c r="Y48" s="562"/>
      <c r="Z48" s="562"/>
      <c r="AA48" s="1"/>
      <c r="AB48" s="1"/>
    </row>
    <row r="49" spans="1:28">
      <c r="A49" s="217" t="s">
        <v>2145</v>
      </c>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c r="A50" s="217" t="s">
        <v>2146</v>
      </c>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c r="A51" s="217" t="s">
        <v>2147</v>
      </c>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c r="A52" s="217" t="s">
        <v>2148</v>
      </c>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c r="A53" s="217" t="s">
        <v>135</v>
      </c>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c r="A54" s="217" t="s">
        <v>2149</v>
      </c>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c r="A55" s="217" t="s">
        <v>2150</v>
      </c>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c r="A56" s="217" t="s">
        <v>2151</v>
      </c>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c r="A57" s="217" t="s">
        <v>136</v>
      </c>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c r="A58" s="217" t="s">
        <v>137</v>
      </c>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c r="A59" s="217" t="s">
        <v>138</v>
      </c>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c r="A60" s="217" t="s">
        <v>139</v>
      </c>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c r="A61" s="217" t="s">
        <v>565</v>
      </c>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c r="A62" s="217" t="s">
        <v>140</v>
      </c>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c r="A63" s="217" t="s">
        <v>878</v>
      </c>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c r="A64" s="217" t="s">
        <v>879</v>
      </c>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c r="A65" s="217" t="s">
        <v>880</v>
      </c>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c r="A66" s="217" t="s">
        <v>881</v>
      </c>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c r="A67" s="217" t="s">
        <v>882</v>
      </c>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c r="A68" s="217" t="s">
        <v>337</v>
      </c>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c r="A69" s="217" t="s">
        <v>972</v>
      </c>
      <c r="B69" s="1"/>
      <c r="C69" s="1"/>
      <c r="D69" s="1"/>
      <c r="E69" s="1"/>
      <c r="F69" s="1"/>
      <c r="G69" s="1"/>
      <c r="H69" s="1"/>
      <c r="I69" s="1"/>
      <c r="J69" s="1"/>
      <c r="K69" s="1"/>
      <c r="L69" s="1"/>
      <c r="M69" s="1"/>
      <c r="N69" s="1"/>
      <c r="O69" s="1"/>
      <c r="P69" s="1"/>
      <c r="Q69" s="1"/>
      <c r="R69" s="1"/>
      <c r="S69" s="1"/>
      <c r="T69" s="1"/>
      <c r="U69" s="1"/>
      <c r="V69" s="1"/>
      <c r="W69" s="1"/>
      <c r="X69" s="1"/>
      <c r="Y69" s="1"/>
      <c r="Z69" s="1"/>
      <c r="AA69" s="1"/>
      <c r="AB69" s="1"/>
    </row>
  </sheetData>
  <mergeCells count="13">
    <mergeCell ref="V43:Y43"/>
    <mergeCell ref="A15:AB15"/>
    <mergeCell ref="A17:AB17"/>
    <mergeCell ref="A23:Z23"/>
    <mergeCell ref="H26:Q26"/>
    <mergeCell ref="H29:AB29"/>
    <mergeCell ref="A19:AB21"/>
    <mergeCell ref="A14:AB14"/>
    <mergeCell ref="A3:AB3"/>
    <mergeCell ref="G6:AB6"/>
    <mergeCell ref="T8:Z8"/>
    <mergeCell ref="A13:AB13"/>
    <mergeCell ref="T10:AB10"/>
  </mergeCells>
  <dataValidations xWindow="57470" yWindow="63682" count="9">
    <dataValidation type="textLength" allowBlank="1" showInputMessage="1" showErrorMessage="1" errorTitle="Erreur de saisie" error="Vous devez saisir un texte (100 caractère(s) au maximum)" sqref="A3:AB3 G6:AB6">
      <formula1>0</formula1>
      <formula2>100</formula2>
    </dataValidation>
    <dataValidation type="textLength" allowBlank="1" showInputMessage="1" showErrorMessage="1" errorTitle="Erreur de saisie" error="Vous devez saisir un texte (3 caractère(s) au maximum)" sqref="F8">
      <formula1>0</formula1>
      <formula2>3</formula2>
    </dataValidation>
    <dataValidation type="textLength" allowBlank="1" showInputMessage="1" showErrorMessage="1" errorTitle="Erreur de saisie" error="Vous devez saisir un texte (10 caractère(s) au maximum)" sqref="T8:Z8">
      <formula1>0</formula1>
      <formula2>10</formula2>
    </dataValidation>
    <dataValidation type="textLength" allowBlank="1" showInputMessage="1" showErrorMessage="1" errorTitle="Erreur de saisie" error="Vous devez saisir un texte (5 caractère(s) au maximum)" sqref="F10">
      <formula1>0</formula1>
      <formula2>5</formula2>
    </dataValidation>
    <dataValidation type="textLength" allowBlank="1" showInputMessage="1" showErrorMessage="1" errorTitle="Erreur de saisie" error="Vous devez saisir un texte (50 caractère(s) au maximum)" sqref="T10:AB10">
      <formula1>0</formula1>
      <formula2>50</formula2>
    </dataValidation>
    <dataValidation type="textLength" allowBlank="1" showInputMessage="1" showErrorMessage="1" errorTitle="Erreur de saisie" error="Vous devez saisir un texte (14 caractère(s) au maximum)" sqref="H26:Q26">
      <formula1>0</formula1>
      <formula2>14</formula2>
    </dataValidation>
    <dataValidation type="list" allowBlank="1" showInputMessage="1" showErrorMessage="1" errorTitle="Erreur de saisie" error="Vous devez saisir une valeur dans la liste" sqref="H29:AB29">
      <formula1>lstCollectivite</formula1>
    </dataValidation>
    <dataValidation type="textLength" allowBlank="1" showInputMessage="1" showErrorMessage="1" errorTitle="Erreur de saisie" error="Vous devez saisir un texte (1 caractère(s) au maximum)" sqref="Y37 AA39 Y39 AA37">
      <formula1>0</formula1>
      <formula2>1</formula2>
    </dataValidation>
    <dataValidation type="whole" allowBlank="1" showInputMessage="1" showErrorMessage="1" errorTitle="Erreur de saisie" error="Vous devez saisir une valeur entière" sqref="V43:Y43">
      <formula1>0</formula1>
      <formula2>999999999999</formula2>
    </dataValidation>
  </dataValidations>
  <printOptions horizontalCentered="1"/>
  <pageMargins left="0.59055118110236227" right="0.59055118110236227" top="0.59055118110236227" bottom="0.59055118110236227" header="0.51181102362204722" footer="0.27559055118110237"/>
  <pageSetup paperSize="9" scale="79" firstPageNumber="0" orientation="portrait" r:id="rId1"/>
  <headerFooter alignWithMargins="0">
    <oddFooter>&amp;LRSU 2020 - Présentation au CTP&amp;R&amp;P/&amp;N
&amp;A</oddFooter>
  </headerFooter>
  <rowBreaks count="1" manualBreakCount="1">
    <brk id="46" max="16383" man="1"/>
  </rowBreaks>
</worksheet>
</file>

<file path=xl/worksheets/sheet30.xml><?xml version="1.0" encoding="utf-8"?>
<worksheet xmlns="http://schemas.openxmlformats.org/spreadsheetml/2006/main" xmlns:r="http://schemas.openxmlformats.org/officeDocument/2006/relationships">
  <sheetPr codeName="Feuil22">
    <pageSetUpPr fitToPage="1"/>
  </sheetPr>
  <dimension ref="A1:G26"/>
  <sheetViews>
    <sheetView showGridLines="0" zoomScaleNormal="100" workbookViewId="0"/>
  </sheetViews>
  <sheetFormatPr baseColWidth="10" defaultColWidth="10.85546875" defaultRowHeight="12.75" customHeight="1"/>
  <cols>
    <col min="1" max="1" width="50" customWidth="1"/>
    <col min="2" max="2" width="20.42578125" customWidth="1"/>
    <col min="3" max="3" width="21.28515625" customWidth="1"/>
    <col min="4" max="4" width="6.85546875" customWidth="1"/>
    <col min="5" max="5" width="26.140625" customWidth="1"/>
    <col min="6" max="6" width="24.42578125" customWidth="1"/>
    <col min="9" max="9" width="10.85546875" customWidth="1"/>
  </cols>
  <sheetData>
    <row r="1" spans="1:7" ht="17.100000000000001" customHeight="1">
      <c r="B1" s="2245" t="s">
        <v>958</v>
      </c>
      <c r="C1" s="2245"/>
    </row>
    <row r="2" spans="1:7" ht="13.5" thickBot="1"/>
    <row r="3" spans="1:7" ht="25.5" customHeight="1" thickBot="1">
      <c r="A3" s="2421" t="s">
        <v>1279</v>
      </c>
      <c r="B3" s="2421"/>
      <c r="C3" s="2421"/>
      <c r="D3" s="2421"/>
      <c r="E3" s="2422"/>
      <c r="F3" s="2422"/>
    </row>
    <row r="5" spans="1:7" ht="25.5" customHeight="1">
      <c r="A5" s="2423" t="s">
        <v>2485</v>
      </c>
      <c r="B5" s="2423"/>
      <c r="C5" s="2423"/>
      <c r="D5" s="2423"/>
      <c r="E5" s="2424"/>
      <c r="F5" s="2424"/>
    </row>
    <row r="6" spans="1:7" ht="12.75" customHeight="1">
      <c r="A6" s="2404" t="s">
        <v>295</v>
      </c>
      <c r="B6" s="2404"/>
      <c r="C6" s="2404"/>
      <c r="D6" s="2404"/>
      <c r="E6" s="880"/>
      <c r="F6" s="880"/>
    </row>
    <row r="7" spans="1:7" ht="12.75" customHeight="1">
      <c r="A7" s="2413" t="s">
        <v>871</v>
      </c>
      <c r="B7" s="2420"/>
      <c r="C7" s="2420"/>
      <c r="D7" s="2420"/>
      <c r="E7" s="881"/>
      <c r="F7" s="881"/>
    </row>
    <row r="8" spans="1:7" ht="12.75" customHeight="1">
      <c r="A8" s="2411" t="s">
        <v>1291</v>
      </c>
      <c r="B8" s="2416"/>
      <c r="C8" s="2416"/>
      <c r="D8" s="2416"/>
      <c r="E8" s="2417"/>
      <c r="F8" s="2417"/>
    </row>
    <row r="10" spans="1:7" ht="13.5" thickBot="1">
      <c r="B10" s="1203" t="s">
        <v>1623</v>
      </c>
      <c r="C10" s="1203" t="s">
        <v>1623</v>
      </c>
      <c r="E10" s="1199" t="s">
        <v>502</v>
      </c>
      <c r="F10" s="1199" t="s">
        <v>502</v>
      </c>
      <c r="G10" s="1193" t="s">
        <v>1231</v>
      </c>
    </row>
    <row r="11" spans="1:7" ht="39.75" customHeight="1" thickBot="1">
      <c r="B11" s="2418" t="s">
        <v>2598</v>
      </c>
      <c r="C11" s="2419"/>
      <c r="E11" s="2418" t="s">
        <v>2609</v>
      </c>
      <c r="F11" s="2419"/>
    </row>
    <row r="12" spans="1:7" ht="13.5" thickBot="1">
      <c r="B12" s="115" t="s">
        <v>664</v>
      </c>
      <c r="C12" s="115" t="s">
        <v>665</v>
      </c>
      <c r="E12" s="115" t="s">
        <v>666</v>
      </c>
      <c r="F12" s="115" t="s">
        <v>667</v>
      </c>
    </row>
    <row r="13" spans="1:7">
      <c r="B13" s="1190">
        <v>1</v>
      </c>
      <c r="C13" s="1190">
        <v>2</v>
      </c>
      <c r="E13" s="1190">
        <v>1</v>
      </c>
      <c r="F13" s="1190">
        <v>2</v>
      </c>
      <c r="G13" s="1193" t="s">
        <v>872</v>
      </c>
    </row>
    <row r="14" spans="1:7" ht="24">
      <c r="A14" s="116" t="s">
        <v>985</v>
      </c>
      <c r="B14" s="1002">
        <f>SUM(B15:B24)</f>
        <v>0</v>
      </c>
      <c r="C14" s="1002">
        <f>SUM(C15:C24)</f>
        <v>0</v>
      </c>
      <c r="E14" s="1002">
        <f>SUM(E15:E24)</f>
        <v>0</v>
      </c>
      <c r="F14" s="1002">
        <f>SUM(F15:F24)</f>
        <v>0</v>
      </c>
      <c r="G14" s="1194" t="s">
        <v>697</v>
      </c>
    </row>
    <row r="15" spans="1:7">
      <c r="A15" s="842" t="s">
        <v>1915</v>
      </c>
      <c r="B15" s="851">
        <v>0</v>
      </c>
      <c r="C15" s="851">
        <v>0</v>
      </c>
      <c r="E15" s="851">
        <v>0</v>
      </c>
      <c r="F15" s="851">
        <v>0</v>
      </c>
      <c r="G15" s="1193" t="s">
        <v>1852</v>
      </c>
    </row>
    <row r="16" spans="1:7">
      <c r="A16" s="846" t="s">
        <v>673</v>
      </c>
      <c r="B16" s="851">
        <v>0</v>
      </c>
      <c r="C16" s="851">
        <v>0</v>
      </c>
      <c r="E16" s="851">
        <v>0</v>
      </c>
      <c r="F16" s="851">
        <v>0</v>
      </c>
      <c r="G16" s="1193" t="s">
        <v>1249</v>
      </c>
    </row>
    <row r="17" spans="1:7">
      <c r="A17" s="845" t="s">
        <v>1250</v>
      </c>
      <c r="B17" s="851">
        <v>0</v>
      </c>
      <c r="C17" s="851">
        <v>0</v>
      </c>
      <c r="E17" s="851">
        <v>0</v>
      </c>
      <c r="F17" s="851">
        <v>0</v>
      </c>
      <c r="G17" s="1193" t="s">
        <v>375</v>
      </c>
    </row>
    <row r="18" spans="1:7">
      <c r="A18" s="846" t="s">
        <v>376</v>
      </c>
      <c r="B18" s="851">
        <v>0</v>
      </c>
      <c r="C18" s="851">
        <v>0</v>
      </c>
      <c r="E18" s="851">
        <v>0</v>
      </c>
      <c r="F18" s="851">
        <v>0</v>
      </c>
      <c r="G18" s="1193" t="s">
        <v>1194</v>
      </c>
    </row>
    <row r="19" spans="1:7">
      <c r="A19" s="846" t="s">
        <v>1195</v>
      </c>
      <c r="B19" s="851">
        <v>0</v>
      </c>
      <c r="C19" s="851">
        <v>0</v>
      </c>
      <c r="E19" s="851">
        <v>0</v>
      </c>
      <c r="F19" s="851">
        <v>0</v>
      </c>
      <c r="G19" s="1193" t="s">
        <v>1573</v>
      </c>
    </row>
    <row r="20" spans="1:7">
      <c r="A20" s="847" t="s">
        <v>1574</v>
      </c>
      <c r="B20" s="851">
        <v>0</v>
      </c>
      <c r="C20" s="851">
        <v>0</v>
      </c>
      <c r="E20" s="851">
        <v>0</v>
      </c>
      <c r="F20" s="851">
        <v>0</v>
      </c>
      <c r="G20" s="1193" t="s">
        <v>2126</v>
      </c>
    </row>
    <row r="21" spans="1:7">
      <c r="A21" s="847" t="s">
        <v>2127</v>
      </c>
      <c r="B21" s="851">
        <v>0</v>
      </c>
      <c r="C21" s="851">
        <v>0</v>
      </c>
      <c r="E21" s="851">
        <v>0</v>
      </c>
      <c r="F21" s="851">
        <v>0</v>
      </c>
      <c r="G21" s="1193" t="s">
        <v>1649</v>
      </c>
    </row>
    <row r="22" spans="1:7">
      <c r="A22" s="847" t="s">
        <v>1650</v>
      </c>
      <c r="B22" s="851">
        <v>0</v>
      </c>
      <c r="C22" s="851">
        <v>0</v>
      </c>
      <c r="E22" s="851">
        <v>0</v>
      </c>
      <c r="F22" s="851">
        <v>0</v>
      </c>
      <c r="G22" s="1193" t="s">
        <v>316</v>
      </c>
    </row>
    <row r="23" spans="1:7">
      <c r="A23" s="848" t="s">
        <v>2192</v>
      </c>
      <c r="B23" s="851">
        <v>0</v>
      </c>
      <c r="C23" s="851">
        <v>0</v>
      </c>
      <c r="E23" s="851">
        <v>0</v>
      </c>
      <c r="F23" s="851">
        <v>0</v>
      </c>
      <c r="G23" s="1193" t="s">
        <v>1081</v>
      </c>
    </row>
    <row r="24" spans="1:7">
      <c r="A24" s="848" t="s">
        <v>1082</v>
      </c>
      <c r="B24" s="851">
        <v>0</v>
      </c>
      <c r="C24" s="851">
        <v>0</v>
      </c>
      <c r="E24" s="851">
        <v>0</v>
      </c>
      <c r="F24" s="851">
        <v>0</v>
      </c>
      <c r="G24" s="1193" t="s">
        <v>694</v>
      </c>
    </row>
    <row r="26" spans="1:7" ht="24">
      <c r="A26" s="937" t="s">
        <v>873</v>
      </c>
      <c r="B26" s="688">
        <v>0</v>
      </c>
      <c r="C26" s="688">
        <v>0</v>
      </c>
      <c r="E26" s="689">
        <v>0</v>
      </c>
      <c r="F26" s="689">
        <v>0</v>
      </c>
      <c r="G26" s="1194" t="s">
        <v>1226</v>
      </c>
    </row>
  </sheetData>
  <sheetProtection algorithmName="SHA-512" hashValue="jfunZLzn46yqeA115PARUmZfAD2VB8GBF1Itt4dmtpexU+opPuUJfG7sVb9+FiSo8GbsFCeDvu0XqvbwIFcFkQ==" saltValue="cLwU5oAh6FD1wMlQX9LU6w==" spinCount="100000" sheet="1" objects="1" scenarios="1"/>
  <mergeCells count="8">
    <mergeCell ref="A8:F8"/>
    <mergeCell ref="B11:C11"/>
    <mergeCell ref="E11:F11"/>
    <mergeCell ref="B1:C1"/>
    <mergeCell ref="A6:D6"/>
    <mergeCell ref="A7:D7"/>
    <mergeCell ref="A3:F3"/>
    <mergeCell ref="A5:F5"/>
  </mergeCells>
  <dataValidations xWindow="15249" yWindow="26075" count="1">
    <dataValidation type="whole" allowBlank="1" showInputMessage="1" showErrorMessage="1" errorTitle="Erreur de saisie" error="Vous devez saisir une valeur entière" sqref="B15:C24 E15:F24 B26:C26 E26:F26">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61" firstPageNumber="0" orientation="portrait" r:id="rId1"/>
  <headerFooter alignWithMargins="0">
    <oddFooter>&amp;LRSU 2020 - Présentation au CTP&amp;R&amp;P/&amp;N
&amp;A</oddFooter>
  </headerFooter>
</worksheet>
</file>

<file path=xl/worksheets/sheet31.xml><?xml version="1.0" encoding="utf-8"?>
<worksheet xmlns="http://schemas.openxmlformats.org/spreadsheetml/2006/main" xmlns:r="http://schemas.openxmlformats.org/officeDocument/2006/relationships">
  <sheetPr codeName="Feuil85">
    <pageSetUpPr fitToPage="1"/>
  </sheetPr>
  <dimension ref="A1:IV73"/>
  <sheetViews>
    <sheetView showGridLines="0" zoomScaleNormal="85" workbookViewId="0"/>
  </sheetViews>
  <sheetFormatPr baseColWidth="10" defaultColWidth="10.85546875" defaultRowHeight="12.75"/>
  <cols>
    <col min="1" max="7" width="10.85546875" style="1093" customWidth="1"/>
    <col min="8" max="8" width="24.7109375" style="1093" customWidth="1"/>
    <col min="9" max="16384" width="10.85546875" style="1093"/>
  </cols>
  <sheetData>
    <row r="1" spans="1:256" customFormat="1" ht="17.100000000000001" customHeight="1">
      <c r="A1" s="9"/>
      <c r="B1" s="9"/>
      <c r="C1" s="9"/>
      <c r="D1" s="9"/>
      <c r="E1" s="2245" t="s">
        <v>958</v>
      </c>
      <c r="F1" s="2245"/>
      <c r="G1" s="9"/>
      <c r="H1" s="1"/>
      <c r="I1" s="1"/>
    </row>
    <row r="2" spans="1:256" customFormat="1" ht="13.5" thickBot="1"/>
    <row r="3" spans="1:256" ht="13.5" thickBot="1">
      <c r="A3" s="2386" t="s">
        <v>2351</v>
      </c>
      <c r="B3" s="2386"/>
      <c r="C3" s="2386"/>
      <c r="D3" s="2386"/>
      <c r="E3" s="2386"/>
      <c r="F3" s="2386"/>
      <c r="G3" s="2386"/>
      <c r="H3" s="2386"/>
    </row>
    <row r="4" spans="1:256" customFormat="1"/>
    <row r="5" spans="1:256" customFormat="1"/>
    <row r="6" spans="1:256" ht="12.75" customHeight="1">
      <c r="A6" s="2387" t="s">
        <v>550</v>
      </c>
      <c r="B6" s="2387"/>
      <c r="C6" s="2387"/>
      <c r="D6" s="2387"/>
      <c r="E6" s="2387"/>
      <c r="F6" s="2387"/>
      <c r="G6" s="2387"/>
      <c r="H6" s="2387"/>
      <c r="I6" s="1095"/>
      <c r="J6" s="1095"/>
      <c r="K6" s="1095"/>
      <c r="L6" s="1095"/>
      <c r="M6" s="1095"/>
    </row>
    <row r="7" spans="1:256" s="1098" customFormat="1" ht="12.75" customHeight="1">
      <c r="A7" s="2244" t="s">
        <v>470</v>
      </c>
      <c r="B7" s="2244"/>
      <c r="C7" s="2244"/>
      <c r="D7" s="2244"/>
      <c r="E7" s="2244"/>
      <c r="F7" s="2244"/>
      <c r="G7" s="2244"/>
      <c r="H7" s="2244"/>
      <c r="I7" s="1096"/>
      <c r="J7" s="1096"/>
      <c r="K7" s="1096"/>
      <c r="L7" s="1096"/>
      <c r="M7" s="1096"/>
      <c r="N7" s="1097"/>
      <c r="O7" s="1097"/>
      <c r="P7" s="1097"/>
      <c r="Q7" s="1097"/>
      <c r="R7" s="1097"/>
      <c r="S7" s="1097"/>
      <c r="T7" s="1097"/>
      <c r="U7" s="1097"/>
      <c r="V7" s="1097"/>
      <c r="W7" s="1097"/>
      <c r="X7" s="1097"/>
      <c r="Y7" s="1097"/>
      <c r="Z7" s="1097"/>
      <c r="AA7" s="1097"/>
      <c r="AB7" s="1097"/>
      <c r="AC7" s="1097"/>
      <c r="AD7" s="1097"/>
      <c r="AE7" s="1097"/>
      <c r="AF7" s="1097"/>
      <c r="AG7" s="1097"/>
      <c r="AH7" s="1097"/>
      <c r="AI7" s="1097"/>
      <c r="AJ7" s="1097"/>
      <c r="AK7" s="1097"/>
      <c r="AL7" s="1097"/>
      <c r="AM7" s="1097"/>
      <c r="AN7" s="1097"/>
      <c r="AO7" s="1097"/>
      <c r="AP7" s="1097"/>
      <c r="AQ7" s="1097"/>
      <c r="AR7" s="1097"/>
      <c r="AS7" s="1097"/>
      <c r="AT7" s="1097"/>
      <c r="AU7" s="1097"/>
      <c r="AV7" s="1097"/>
      <c r="AW7" s="1097"/>
      <c r="AX7" s="1097"/>
      <c r="AY7" s="1097"/>
      <c r="AZ7" s="1097"/>
      <c r="BA7" s="1097"/>
      <c r="BB7" s="1097"/>
      <c r="BC7" s="1097"/>
      <c r="BD7" s="1097"/>
      <c r="BE7" s="1097"/>
      <c r="BF7" s="1097"/>
      <c r="BG7" s="1097"/>
      <c r="BH7" s="1097"/>
      <c r="BI7" s="1097"/>
      <c r="BJ7" s="1097"/>
      <c r="BK7" s="1097"/>
      <c r="BL7" s="1097"/>
      <c r="BM7" s="1097"/>
      <c r="BN7" s="1097"/>
      <c r="BO7" s="1097"/>
      <c r="BP7" s="1097"/>
      <c r="BQ7" s="1097"/>
      <c r="BR7" s="1097"/>
      <c r="BS7" s="1097"/>
      <c r="BT7" s="1097"/>
      <c r="BU7" s="1097"/>
      <c r="BV7" s="1097"/>
      <c r="BW7" s="1097"/>
      <c r="BX7" s="1097"/>
      <c r="BY7" s="1097"/>
      <c r="BZ7" s="1097"/>
      <c r="CA7" s="1097"/>
      <c r="CB7" s="1097"/>
      <c r="CC7" s="1097"/>
      <c r="CD7" s="1097"/>
      <c r="CE7" s="1097"/>
      <c r="CF7" s="1097"/>
      <c r="CG7" s="1097"/>
      <c r="CH7" s="1097"/>
      <c r="CI7" s="1097"/>
      <c r="CJ7" s="1097"/>
      <c r="CK7" s="1097"/>
      <c r="CL7" s="1097"/>
      <c r="CM7" s="1097"/>
      <c r="CN7" s="1097"/>
      <c r="CO7" s="1097"/>
      <c r="CP7" s="1097"/>
      <c r="CQ7" s="1097"/>
      <c r="CR7" s="1097"/>
      <c r="CS7" s="1097"/>
      <c r="CT7" s="1097"/>
      <c r="CU7" s="1097"/>
      <c r="CV7" s="1097"/>
      <c r="CW7" s="1097"/>
      <c r="CX7" s="1097"/>
      <c r="CY7" s="1097"/>
      <c r="CZ7" s="1097"/>
      <c r="DA7" s="1097"/>
      <c r="DB7" s="1097"/>
      <c r="DC7" s="1097"/>
      <c r="DD7" s="1097"/>
      <c r="DE7" s="1097"/>
      <c r="DF7" s="1097"/>
      <c r="DG7" s="1097"/>
      <c r="DH7" s="1097"/>
      <c r="DI7" s="1097"/>
      <c r="DJ7" s="1097"/>
      <c r="DK7" s="1097"/>
      <c r="DL7" s="1097"/>
      <c r="DM7" s="1097"/>
      <c r="DN7" s="1097"/>
      <c r="DO7" s="1097"/>
      <c r="DP7" s="1097"/>
      <c r="DQ7" s="1097"/>
      <c r="DR7" s="1097"/>
      <c r="DS7" s="1097"/>
      <c r="DT7" s="1097"/>
      <c r="DU7" s="1097"/>
      <c r="DV7" s="1097"/>
      <c r="DW7" s="1097"/>
      <c r="DX7" s="1097"/>
      <c r="DY7" s="1097"/>
      <c r="DZ7" s="1097"/>
      <c r="EA7" s="1097"/>
      <c r="EB7" s="1097"/>
      <c r="EC7" s="1097"/>
      <c r="ED7" s="1097"/>
      <c r="EE7" s="1097"/>
      <c r="EF7" s="1097"/>
      <c r="EG7" s="1097"/>
      <c r="EH7" s="1097"/>
      <c r="EI7" s="1097"/>
      <c r="EJ7" s="1097"/>
      <c r="EK7" s="1097"/>
      <c r="EL7" s="1097"/>
      <c r="EM7" s="1097"/>
      <c r="EN7" s="1097"/>
      <c r="EO7" s="1097"/>
      <c r="EP7" s="1097"/>
      <c r="EQ7" s="1097"/>
      <c r="ER7" s="1097"/>
      <c r="ES7" s="1097"/>
      <c r="ET7" s="1097"/>
      <c r="EU7" s="1097"/>
      <c r="EV7" s="1097"/>
      <c r="EW7" s="1097"/>
      <c r="EX7" s="1097"/>
      <c r="EY7" s="1097"/>
      <c r="EZ7" s="1097"/>
      <c r="FA7" s="1097"/>
      <c r="FB7" s="1097"/>
      <c r="FC7" s="1097"/>
      <c r="FD7" s="1097"/>
      <c r="FE7" s="1097"/>
      <c r="FF7" s="1097"/>
      <c r="FG7" s="1097"/>
      <c r="FH7" s="1097"/>
      <c r="FI7" s="1097"/>
      <c r="FJ7" s="1097"/>
      <c r="FK7" s="1097"/>
      <c r="FL7" s="1097"/>
      <c r="FM7" s="1097"/>
      <c r="FN7" s="1097"/>
      <c r="FO7" s="1097"/>
      <c r="FP7" s="1097"/>
      <c r="FQ7" s="1097"/>
      <c r="FR7" s="1097"/>
      <c r="FS7" s="1097"/>
      <c r="FT7" s="1097"/>
      <c r="FU7" s="1097"/>
      <c r="FV7" s="1097"/>
      <c r="FW7" s="1097"/>
      <c r="FX7" s="1097"/>
      <c r="FY7" s="1097"/>
      <c r="FZ7" s="1097"/>
      <c r="GA7" s="1097"/>
      <c r="GB7" s="1097"/>
      <c r="GC7" s="1097"/>
      <c r="GD7" s="1097"/>
      <c r="GE7" s="1097"/>
      <c r="GF7" s="1097"/>
      <c r="GG7" s="1097"/>
      <c r="GH7" s="1097"/>
      <c r="GI7" s="1097"/>
      <c r="GJ7" s="1097"/>
      <c r="GK7" s="1097"/>
      <c r="GL7" s="1097"/>
      <c r="GM7" s="1097"/>
      <c r="GN7" s="1097"/>
      <c r="GO7" s="1097"/>
      <c r="GP7" s="1097"/>
      <c r="GQ7" s="1097"/>
      <c r="GR7" s="1097"/>
      <c r="GS7" s="1097"/>
      <c r="GT7" s="1097"/>
      <c r="GU7" s="1097"/>
      <c r="GV7" s="1097"/>
      <c r="GW7" s="1097"/>
      <c r="GX7" s="1097"/>
      <c r="GY7" s="1097"/>
      <c r="GZ7" s="1097"/>
      <c r="HA7" s="1097"/>
      <c r="HB7" s="1097"/>
      <c r="HC7" s="1097"/>
      <c r="HD7" s="1097"/>
      <c r="HE7" s="1097"/>
      <c r="HF7" s="1097"/>
      <c r="HG7" s="1097"/>
      <c r="HH7" s="1097"/>
      <c r="HI7" s="1097"/>
      <c r="HJ7" s="1097"/>
      <c r="HK7" s="1097"/>
      <c r="HL7" s="1097"/>
      <c r="HM7" s="1097"/>
      <c r="HN7" s="1097"/>
      <c r="HO7" s="1097"/>
      <c r="HP7" s="1097"/>
      <c r="HQ7" s="1097"/>
      <c r="HR7" s="1097"/>
      <c r="HS7" s="1097"/>
      <c r="HT7" s="1097"/>
      <c r="HU7" s="1097"/>
      <c r="HV7" s="1097"/>
      <c r="HW7" s="1097"/>
      <c r="HX7" s="1097"/>
      <c r="HY7" s="1097"/>
      <c r="HZ7" s="1097"/>
      <c r="IA7" s="1097"/>
      <c r="IB7" s="1097"/>
      <c r="IC7" s="1097"/>
      <c r="ID7" s="1097"/>
      <c r="IE7" s="1097"/>
      <c r="IF7" s="1097"/>
      <c r="IG7" s="1097"/>
      <c r="IH7" s="1097"/>
      <c r="II7" s="1097"/>
      <c r="IJ7" s="1097"/>
      <c r="IK7" s="1097"/>
      <c r="IL7" s="1097"/>
      <c r="IM7" s="1097"/>
      <c r="IN7" s="1097"/>
      <c r="IO7" s="1097"/>
      <c r="IP7" s="1097"/>
      <c r="IQ7" s="1097"/>
      <c r="IR7" s="1097"/>
      <c r="IS7" s="1097"/>
      <c r="IT7" s="1097"/>
      <c r="IU7" s="1097"/>
      <c r="IV7" s="1097"/>
    </row>
    <row r="8" spans="1:256" customFormat="1"/>
    <row r="9" spans="1:256" customFormat="1"/>
    <row r="10" spans="1:256" ht="12.75" customHeight="1">
      <c r="A10" s="2244" t="s">
        <v>959</v>
      </c>
      <c r="B10" s="2244"/>
      <c r="C10" s="2244"/>
      <c r="D10" s="2244"/>
      <c r="E10" s="2244"/>
      <c r="F10" s="2244"/>
      <c r="G10" s="2244"/>
      <c r="H10" s="2244"/>
      <c r="I10" s="1095"/>
      <c r="J10" s="1095"/>
      <c r="K10" s="1095"/>
      <c r="L10" s="1095"/>
      <c r="M10" s="1095"/>
    </row>
    <row r="11" spans="1:256" customFormat="1"/>
    <row r="12" spans="1:256" s="1098" customFormat="1" ht="12.75" customHeight="1">
      <c r="A12" s="2239" t="s">
        <v>551</v>
      </c>
      <c r="B12" s="2239"/>
      <c r="C12" s="2239"/>
      <c r="D12" s="2239"/>
      <c r="E12" s="2239"/>
      <c r="F12" s="2239"/>
      <c r="G12" s="2239"/>
      <c r="H12" s="2239"/>
      <c r="I12" s="1096"/>
      <c r="J12" s="1096"/>
      <c r="K12" s="1096"/>
      <c r="L12" s="1096"/>
      <c r="M12" s="1096"/>
      <c r="N12" s="1097"/>
      <c r="O12" s="1097"/>
      <c r="P12" s="1097"/>
      <c r="Q12" s="1097"/>
      <c r="R12" s="1097"/>
      <c r="S12" s="1097"/>
      <c r="T12" s="1097"/>
      <c r="U12" s="1097"/>
      <c r="V12" s="1097"/>
      <c r="W12" s="1097"/>
      <c r="X12" s="1097"/>
      <c r="Y12" s="1097"/>
      <c r="Z12" s="1097"/>
      <c r="AA12" s="1097"/>
      <c r="AB12" s="1097"/>
      <c r="AC12" s="1097"/>
      <c r="AD12" s="1097"/>
      <c r="AE12" s="1097"/>
      <c r="AF12" s="1097"/>
      <c r="AG12" s="1097"/>
      <c r="AH12" s="1097"/>
      <c r="AI12" s="1097"/>
      <c r="AJ12" s="1097"/>
      <c r="AK12" s="1097"/>
      <c r="AL12" s="1097"/>
      <c r="AM12" s="1097"/>
      <c r="AN12" s="1097"/>
      <c r="AO12" s="1097"/>
      <c r="AP12" s="1097"/>
      <c r="AQ12" s="1097"/>
      <c r="AR12" s="1097"/>
      <c r="AS12" s="1097"/>
      <c r="AT12" s="1097"/>
      <c r="AU12" s="1097"/>
      <c r="AV12" s="1097"/>
      <c r="AW12" s="1097"/>
      <c r="AX12" s="1097"/>
      <c r="AY12" s="1097"/>
      <c r="AZ12" s="1097"/>
      <c r="BA12" s="1097"/>
      <c r="BB12" s="1097"/>
      <c r="BC12" s="1097"/>
      <c r="BD12" s="1097"/>
      <c r="BE12" s="1097"/>
      <c r="BF12" s="1097"/>
      <c r="BG12" s="1097"/>
      <c r="BH12" s="1097"/>
      <c r="BI12" s="1097"/>
      <c r="BJ12" s="1097"/>
      <c r="BK12" s="1097"/>
      <c r="BL12" s="1097"/>
      <c r="BM12" s="1097"/>
      <c r="BN12" s="1097"/>
      <c r="BO12" s="1097"/>
      <c r="BP12" s="1097"/>
      <c r="BQ12" s="1097"/>
      <c r="BR12" s="1097"/>
      <c r="BS12" s="1097"/>
      <c r="BT12" s="1097"/>
      <c r="BU12" s="1097"/>
      <c r="BV12" s="1097"/>
      <c r="BW12" s="1097"/>
      <c r="BX12" s="1097"/>
      <c r="BY12" s="1097"/>
      <c r="BZ12" s="1097"/>
      <c r="CA12" s="1097"/>
      <c r="CB12" s="1097"/>
      <c r="CC12" s="1097"/>
      <c r="CD12" s="1097"/>
      <c r="CE12" s="1097"/>
      <c r="CF12" s="1097"/>
      <c r="CG12" s="1097"/>
      <c r="CH12" s="1097"/>
      <c r="CI12" s="1097"/>
      <c r="CJ12" s="1097"/>
      <c r="CK12" s="1097"/>
      <c r="CL12" s="1097"/>
      <c r="CM12" s="1097"/>
      <c r="CN12" s="1097"/>
      <c r="CO12" s="1097"/>
      <c r="CP12" s="1097"/>
      <c r="CQ12" s="1097"/>
      <c r="CR12" s="1097"/>
      <c r="CS12" s="1097"/>
      <c r="CT12" s="1097"/>
      <c r="CU12" s="1097"/>
      <c r="CV12" s="1097"/>
      <c r="CW12" s="1097"/>
      <c r="CX12" s="1097"/>
      <c r="CY12" s="1097"/>
      <c r="CZ12" s="1097"/>
      <c r="DA12" s="1097"/>
      <c r="DB12" s="1097"/>
      <c r="DC12" s="1097"/>
      <c r="DD12" s="1097"/>
      <c r="DE12" s="1097"/>
      <c r="DF12" s="1097"/>
      <c r="DG12" s="1097"/>
      <c r="DH12" s="1097"/>
      <c r="DI12" s="1097"/>
      <c r="DJ12" s="1097"/>
      <c r="DK12" s="1097"/>
      <c r="DL12" s="1097"/>
      <c r="DM12" s="1097"/>
      <c r="DN12" s="1097"/>
      <c r="DO12" s="1097"/>
      <c r="DP12" s="1097"/>
      <c r="DQ12" s="1097"/>
      <c r="DR12" s="1097"/>
      <c r="DS12" s="1097"/>
      <c r="DT12" s="1097"/>
      <c r="DU12" s="1097"/>
      <c r="DV12" s="1097"/>
      <c r="DW12" s="1097"/>
      <c r="DX12" s="1097"/>
      <c r="DY12" s="1097"/>
      <c r="DZ12" s="1097"/>
      <c r="EA12" s="1097"/>
      <c r="EB12" s="1097"/>
      <c r="EC12" s="1097"/>
      <c r="ED12" s="1097"/>
      <c r="EE12" s="1097"/>
      <c r="EF12" s="1097"/>
      <c r="EG12" s="1097"/>
      <c r="EH12" s="1097"/>
      <c r="EI12" s="1097"/>
      <c r="EJ12" s="1097"/>
      <c r="EK12" s="1097"/>
      <c r="EL12" s="1097"/>
      <c r="EM12" s="1097"/>
      <c r="EN12" s="1097"/>
      <c r="EO12" s="1097"/>
      <c r="EP12" s="1097"/>
      <c r="EQ12" s="1097"/>
      <c r="ER12" s="1097"/>
      <c r="ES12" s="1097"/>
      <c r="ET12" s="1097"/>
      <c r="EU12" s="1097"/>
      <c r="EV12" s="1097"/>
      <c r="EW12" s="1097"/>
      <c r="EX12" s="1097"/>
      <c r="EY12" s="1097"/>
      <c r="EZ12" s="1097"/>
      <c r="FA12" s="1097"/>
      <c r="FB12" s="1097"/>
      <c r="FC12" s="1097"/>
      <c r="FD12" s="1097"/>
      <c r="FE12" s="1097"/>
      <c r="FF12" s="1097"/>
      <c r="FG12" s="1097"/>
      <c r="FH12" s="1097"/>
      <c r="FI12" s="1097"/>
      <c r="FJ12" s="1097"/>
      <c r="FK12" s="1097"/>
      <c r="FL12" s="1097"/>
      <c r="FM12" s="1097"/>
      <c r="FN12" s="1097"/>
      <c r="FO12" s="1097"/>
      <c r="FP12" s="1097"/>
      <c r="FQ12" s="1097"/>
      <c r="FR12" s="1097"/>
      <c r="FS12" s="1097"/>
      <c r="FT12" s="1097"/>
      <c r="FU12" s="1097"/>
      <c r="FV12" s="1097"/>
      <c r="FW12" s="1097"/>
      <c r="FX12" s="1097"/>
      <c r="FY12" s="1097"/>
      <c r="FZ12" s="1097"/>
      <c r="GA12" s="1097"/>
      <c r="GB12" s="1097"/>
      <c r="GC12" s="1097"/>
      <c r="GD12" s="1097"/>
      <c r="GE12" s="1097"/>
      <c r="GF12" s="1097"/>
      <c r="GG12" s="1097"/>
      <c r="GH12" s="1097"/>
      <c r="GI12" s="1097"/>
      <c r="GJ12" s="1097"/>
      <c r="GK12" s="1097"/>
      <c r="GL12" s="1097"/>
      <c r="GM12" s="1097"/>
      <c r="GN12" s="1097"/>
      <c r="GO12" s="1097"/>
      <c r="GP12" s="1097"/>
      <c r="GQ12" s="1097"/>
      <c r="GR12" s="1097"/>
      <c r="GS12" s="1097"/>
      <c r="GT12" s="1097"/>
      <c r="GU12" s="1097"/>
      <c r="GV12" s="1097"/>
      <c r="GW12" s="1097"/>
      <c r="GX12" s="1097"/>
      <c r="GY12" s="1097"/>
      <c r="GZ12" s="1097"/>
      <c r="HA12" s="1097"/>
      <c r="HB12" s="1097"/>
      <c r="HC12" s="1097"/>
      <c r="HD12" s="1097"/>
      <c r="HE12" s="1097"/>
      <c r="HF12" s="1097"/>
      <c r="HG12" s="1097"/>
      <c r="HH12" s="1097"/>
      <c r="HI12" s="1097"/>
      <c r="HJ12" s="1097"/>
      <c r="HK12" s="1097"/>
      <c r="HL12" s="1097"/>
      <c r="HM12" s="1097"/>
      <c r="HN12" s="1097"/>
      <c r="HO12" s="1097"/>
      <c r="HP12" s="1097"/>
      <c r="HQ12" s="1097"/>
      <c r="HR12" s="1097"/>
      <c r="HS12" s="1097"/>
      <c r="HT12" s="1097"/>
      <c r="HU12" s="1097"/>
      <c r="HV12" s="1097"/>
      <c r="HW12" s="1097"/>
      <c r="HX12" s="1097"/>
      <c r="HY12" s="1097"/>
      <c r="HZ12" s="1097"/>
      <c r="IA12" s="1097"/>
      <c r="IB12" s="1097"/>
      <c r="IC12" s="1097"/>
      <c r="ID12" s="1097"/>
      <c r="IE12" s="1097"/>
      <c r="IF12" s="1097"/>
      <c r="IG12" s="1097"/>
      <c r="IH12" s="1097"/>
      <c r="II12" s="1097"/>
      <c r="IJ12" s="1097"/>
      <c r="IK12" s="1097"/>
      <c r="IL12" s="1097"/>
      <c r="IM12" s="1097"/>
      <c r="IN12" s="1097"/>
      <c r="IO12" s="1097"/>
      <c r="IP12" s="1097"/>
      <c r="IQ12" s="1097"/>
      <c r="IR12" s="1097"/>
      <c r="IS12" s="1097"/>
      <c r="IT12" s="1097"/>
      <c r="IU12" s="1097"/>
      <c r="IV12" s="1097"/>
    </row>
    <row r="13" spans="1:256" customFormat="1"/>
    <row r="14" spans="1:256" s="1098" customFormat="1" ht="12.75" customHeight="1">
      <c r="A14" s="2240" t="s">
        <v>2352</v>
      </c>
      <c r="B14" s="2240"/>
      <c r="C14" s="2240"/>
      <c r="D14" s="2240"/>
      <c r="E14" s="2240"/>
      <c r="F14" s="2240"/>
      <c r="G14" s="2240"/>
      <c r="H14" s="1096"/>
      <c r="I14" s="1096"/>
      <c r="J14" s="1096"/>
      <c r="K14" s="1096"/>
      <c r="L14" s="1096"/>
      <c r="M14" s="1096"/>
      <c r="N14" s="1097"/>
      <c r="O14" s="1097"/>
      <c r="P14" s="1097"/>
      <c r="Q14" s="1097"/>
      <c r="R14" s="1097"/>
      <c r="S14" s="1097"/>
      <c r="T14" s="1097"/>
      <c r="U14" s="1097"/>
      <c r="V14" s="1097"/>
      <c r="W14" s="1097"/>
      <c r="X14" s="1097"/>
      <c r="Y14" s="1097"/>
      <c r="Z14" s="1097"/>
      <c r="AA14" s="1097"/>
      <c r="AB14" s="1097"/>
      <c r="AC14" s="1097"/>
      <c r="AD14" s="1097"/>
      <c r="AE14" s="1097"/>
      <c r="AF14" s="1097"/>
      <c r="AG14" s="1097"/>
      <c r="AH14" s="1097"/>
      <c r="AI14" s="1097"/>
      <c r="AJ14" s="1097"/>
      <c r="AK14" s="1097"/>
      <c r="AL14" s="1097"/>
      <c r="AM14" s="1097"/>
      <c r="AN14" s="1097"/>
      <c r="AO14" s="1097"/>
      <c r="AP14" s="1097"/>
      <c r="AQ14" s="1097"/>
      <c r="AR14" s="1097"/>
      <c r="AS14" s="1097"/>
      <c r="AT14" s="1097"/>
      <c r="AU14" s="1097"/>
      <c r="AV14" s="1097"/>
      <c r="AW14" s="1097"/>
      <c r="AX14" s="1097"/>
      <c r="AY14" s="1097"/>
      <c r="AZ14" s="1097"/>
      <c r="BA14" s="1097"/>
      <c r="BB14" s="1097"/>
      <c r="BC14" s="1097"/>
      <c r="BD14" s="1097"/>
      <c r="BE14" s="1097"/>
      <c r="BF14" s="1097"/>
      <c r="BG14" s="1097"/>
      <c r="BH14" s="1097"/>
      <c r="BI14" s="1097"/>
      <c r="BJ14" s="1097"/>
      <c r="BK14" s="1097"/>
      <c r="BL14" s="1097"/>
      <c r="BM14" s="1097"/>
      <c r="BN14" s="1097"/>
      <c r="BO14" s="1097"/>
      <c r="BP14" s="1097"/>
      <c r="BQ14" s="1097"/>
      <c r="BR14" s="1097"/>
      <c r="BS14" s="1097"/>
      <c r="BT14" s="1097"/>
      <c r="BU14" s="1097"/>
      <c r="BV14" s="1097"/>
      <c r="BW14" s="1097"/>
      <c r="BX14" s="1097"/>
      <c r="BY14" s="1097"/>
      <c r="BZ14" s="1097"/>
      <c r="CA14" s="1097"/>
      <c r="CB14" s="1097"/>
      <c r="CC14" s="1097"/>
      <c r="CD14" s="1097"/>
      <c r="CE14" s="1097"/>
      <c r="CF14" s="1097"/>
      <c r="CG14" s="1097"/>
      <c r="CH14" s="1097"/>
      <c r="CI14" s="1097"/>
      <c r="CJ14" s="1097"/>
      <c r="CK14" s="1097"/>
      <c r="CL14" s="1097"/>
      <c r="CM14" s="1097"/>
      <c r="CN14" s="1097"/>
      <c r="CO14" s="1097"/>
      <c r="CP14" s="1097"/>
      <c r="CQ14" s="1097"/>
      <c r="CR14" s="1097"/>
      <c r="CS14" s="1097"/>
      <c r="CT14" s="1097"/>
      <c r="CU14" s="1097"/>
      <c r="CV14" s="1097"/>
      <c r="CW14" s="1097"/>
      <c r="CX14" s="1097"/>
      <c r="CY14" s="1097"/>
      <c r="CZ14" s="1097"/>
      <c r="DA14" s="1097"/>
      <c r="DB14" s="1097"/>
      <c r="DC14" s="1097"/>
      <c r="DD14" s="1097"/>
      <c r="DE14" s="1097"/>
      <c r="DF14" s="1097"/>
      <c r="DG14" s="1097"/>
      <c r="DH14" s="1097"/>
      <c r="DI14" s="1097"/>
      <c r="DJ14" s="1097"/>
      <c r="DK14" s="1097"/>
      <c r="DL14" s="1097"/>
      <c r="DM14" s="1097"/>
      <c r="DN14" s="1097"/>
      <c r="DO14" s="1097"/>
      <c r="DP14" s="1097"/>
      <c r="DQ14" s="1097"/>
      <c r="DR14" s="1097"/>
      <c r="DS14" s="1097"/>
      <c r="DT14" s="1097"/>
      <c r="DU14" s="1097"/>
      <c r="DV14" s="1097"/>
      <c r="DW14" s="1097"/>
      <c r="DX14" s="1097"/>
      <c r="DY14" s="1097"/>
      <c r="DZ14" s="1097"/>
      <c r="EA14" s="1097"/>
      <c r="EB14" s="1097"/>
      <c r="EC14" s="1097"/>
      <c r="ED14" s="1097"/>
      <c r="EE14" s="1097"/>
      <c r="EF14" s="1097"/>
      <c r="EG14" s="1097"/>
      <c r="EH14" s="1097"/>
      <c r="EI14" s="1097"/>
      <c r="EJ14" s="1097"/>
      <c r="EK14" s="1097"/>
      <c r="EL14" s="1097"/>
      <c r="EM14" s="1097"/>
      <c r="EN14" s="1097"/>
      <c r="EO14" s="1097"/>
      <c r="EP14" s="1097"/>
      <c r="EQ14" s="1097"/>
      <c r="ER14" s="1097"/>
      <c r="ES14" s="1097"/>
      <c r="ET14" s="1097"/>
      <c r="EU14" s="1097"/>
      <c r="EV14" s="1097"/>
      <c r="EW14" s="1097"/>
      <c r="EX14" s="1097"/>
      <c r="EY14" s="1097"/>
      <c r="EZ14" s="1097"/>
      <c r="FA14" s="1097"/>
      <c r="FB14" s="1097"/>
      <c r="FC14" s="1097"/>
      <c r="FD14" s="1097"/>
      <c r="FE14" s="1097"/>
      <c r="FF14" s="1097"/>
      <c r="FG14" s="1097"/>
      <c r="FH14" s="1097"/>
      <c r="FI14" s="1097"/>
      <c r="FJ14" s="1097"/>
      <c r="FK14" s="1097"/>
      <c r="FL14" s="1097"/>
      <c r="FM14" s="1097"/>
      <c r="FN14" s="1097"/>
      <c r="FO14" s="1097"/>
      <c r="FP14" s="1097"/>
      <c r="FQ14" s="1097"/>
      <c r="FR14" s="1097"/>
      <c r="FS14" s="1097"/>
      <c r="FT14" s="1097"/>
      <c r="FU14" s="1097"/>
      <c r="FV14" s="1097"/>
      <c r="FW14" s="1097"/>
      <c r="FX14" s="1097"/>
      <c r="FY14" s="1097"/>
      <c r="FZ14" s="1097"/>
      <c r="GA14" s="1097"/>
      <c r="GB14" s="1097"/>
      <c r="GC14" s="1097"/>
      <c r="GD14" s="1097"/>
      <c r="GE14" s="1097"/>
      <c r="GF14" s="1097"/>
      <c r="GG14" s="1097"/>
      <c r="GH14" s="1097"/>
      <c r="GI14" s="1097"/>
      <c r="GJ14" s="1097"/>
      <c r="GK14" s="1097"/>
      <c r="GL14" s="1097"/>
      <c r="GM14" s="1097"/>
      <c r="GN14" s="1097"/>
      <c r="GO14" s="1097"/>
      <c r="GP14" s="1097"/>
      <c r="GQ14" s="1097"/>
      <c r="GR14" s="1097"/>
      <c r="GS14" s="1097"/>
      <c r="GT14" s="1097"/>
      <c r="GU14" s="1097"/>
      <c r="GV14" s="1097"/>
      <c r="GW14" s="1097"/>
      <c r="GX14" s="1097"/>
      <c r="GY14" s="1097"/>
      <c r="GZ14" s="1097"/>
      <c r="HA14" s="1097"/>
      <c r="HB14" s="1097"/>
      <c r="HC14" s="1097"/>
      <c r="HD14" s="1097"/>
      <c r="HE14" s="1097"/>
      <c r="HF14" s="1097"/>
      <c r="HG14" s="1097"/>
      <c r="HH14" s="1097"/>
      <c r="HI14" s="1097"/>
      <c r="HJ14" s="1097"/>
      <c r="HK14" s="1097"/>
      <c r="HL14" s="1097"/>
      <c r="HM14" s="1097"/>
      <c r="HN14" s="1097"/>
      <c r="HO14" s="1097"/>
      <c r="HP14" s="1097"/>
      <c r="HQ14" s="1097"/>
      <c r="HR14" s="1097"/>
      <c r="HS14" s="1097"/>
      <c r="HT14" s="1097"/>
      <c r="HU14" s="1097"/>
      <c r="HV14" s="1097"/>
      <c r="HW14" s="1097"/>
      <c r="HX14" s="1097"/>
      <c r="HY14" s="1097"/>
      <c r="HZ14" s="1097"/>
      <c r="IA14" s="1097"/>
      <c r="IB14" s="1097"/>
      <c r="IC14" s="1097"/>
      <c r="ID14" s="1097"/>
      <c r="IE14" s="1097"/>
      <c r="IF14" s="1097"/>
      <c r="IG14" s="1097"/>
      <c r="IH14" s="1097"/>
      <c r="II14" s="1097"/>
      <c r="IJ14" s="1097"/>
      <c r="IK14" s="1097"/>
      <c r="IL14" s="1097"/>
      <c r="IM14" s="1097"/>
      <c r="IN14" s="1097"/>
      <c r="IO14" s="1097"/>
      <c r="IP14" s="1097"/>
      <c r="IQ14" s="1097"/>
      <c r="IR14" s="1097"/>
      <c r="IS14" s="1097"/>
      <c r="IT14" s="1097"/>
      <c r="IU14" s="1097"/>
      <c r="IV14" s="1097"/>
    </row>
    <row r="15" spans="1:256" ht="38.25" customHeight="1">
      <c r="A15" s="2425" t="s">
        <v>552</v>
      </c>
      <c r="B15" s="2426"/>
      <c r="C15" s="2426"/>
      <c r="D15" s="2426"/>
      <c r="E15" s="2426"/>
      <c r="F15" s="2426"/>
      <c r="G15" s="2426"/>
      <c r="H15" s="2426"/>
      <c r="I15" s="1095"/>
      <c r="J15" s="1095"/>
      <c r="K15" s="1095"/>
      <c r="L15" s="1095"/>
      <c r="M15" s="1095"/>
    </row>
    <row r="16" spans="1:256" ht="25.5" customHeight="1">
      <c r="A16" s="2425" t="s">
        <v>553</v>
      </c>
      <c r="B16" s="2426"/>
      <c r="C16" s="2426"/>
      <c r="D16" s="2426"/>
      <c r="E16" s="2426"/>
      <c r="F16" s="2426"/>
      <c r="G16" s="2426"/>
      <c r="H16" s="2426"/>
      <c r="I16" s="1095"/>
      <c r="J16" s="1095"/>
      <c r="K16" s="1095"/>
      <c r="L16" s="1095"/>
      <c r="M16" s="1095"/>
    </row>
    <row r="17" spans="1:256" customFormat="1" ht="12.75" customHeight="1"/>
    <row r="18" spans="1:256" customFormat="1" ht="12.75" customHeight="1"/>
    <row r="19" spans="1:256" ht="12.75" customHeight="1">
      <c r="A19" s="2244" t="s">
        <v>960</v>
      </c>
      <c r="B19" s="2244"/>
      <c r="C19" s="2244"/>
      <c r="D19" s="2244"/>
      <c r="E19" s="2244"/>
      <c r="F19" s="2244"/>
      <c r="G19" s="2244"/>
      <c r="H19" s="1095"/>
      <c r="I19" s="1095"/>
      <c r="J19" s="1095"/>
      <c r="K19" s="1095"/>
      <c r="L19" s="1095"/>
      <c r="M19" s="1095"/>
    </row>
    <row r="20" spans="1:256" customFormat="1"/>
    <row r="21" spans="1:256" ht="12.75" customHeight="1">
      <c r="A21" s="2239" t="s">
        <v>554</v>
      </c>
      <c r="B21" s="2239"/>
      <c r="C21" s="2239"/>
      <c r="D21" s="2239"/>
      <c r="E21" s="2239"/>
      <c r="F21" s="2239"/>
      <c r="G21" s="2239"/>
      <c r="H21" s="2239"/>
      <c r="I21" s="1095"/>
      <c r="J21" s="1095"/>
      <c r="K21" s="1095"/>
      <c r="L21" s="1095"/>
      <c r="M21" s="1095"/>
    </row>
    <row r="22" spans="1:256" s="1098" customFormat="1" ht="12.75" customHeight="1">
      <c r="A22" s="2264" t="s">
        <v>555</v>
      </c>
      <c r="B22" s="2259"/>
      <c r="C22" s="2259"/>
      <c r="D22" s="2259"/>
      <c r="E22" s="2259"/>
      <c r="F22" s="2259"/>
      <c r="G22" s="2259"/>
      <c r="H22" s="2259"/>
      <c r="I22" s="1096"/>
      <c r="J22" s="1096"/>
      <c r="K22" s="1096"/>
      <c r="L22" s="1096"/>
      <c r="M22" s="1096"/>
      <c r="N22" s="1097"/>
      <c r="O22" s="1097"/>
      <c r="P22" s="1097"/>
      <c r="Q22" s="1097"/>
      <c r="R22" s="1097"/>
      <c r="S22" s="1097"/>
      <c r="T22" s="1097"/>
      <c r="U22" s="1097"/>
      <c r="V22" s="1097"/>
      <c r="W22" s="1097"/>
      <c r="X22" s="1097"/>
      <c r="Y22" s="1097"/>
      <c r="Z22" s="1097"/>
      <c r="AA22" s="1097"/>
      <c r="AB22" s="1097"/>
      <c r="AC22" s="1097"/>
      <c r="AD22" s="1097"/>
      <c r="AE22" s="1097"/>
      <c r="AF22" s="1097"/>
      <c r="AG22" s="1097"/>
      <c r="AH22" s="1097"/>
      <c r="AI22" s="1097"/>
      <c r="AJ22" s="1097"/>
      <c r="AK22" s="1097"/>
      <c r="AL22" s="1097"/>
      <c r="AM22" s="1097"/>
      <c r="AN22" s="1097"/>
      <c r="AO22" s="1097"/>
      <c r="AP22" s="1097"/>
      <c r="AQ22" s="1097"/>
      <c r="AR22" s="1097"/>
      <c r="AS22" s="1097"/>
      <c r="AT22" s="1097"/>
      <c r="AU22" s="1097"/>
      <c r="AV22" s="1097"/>
      <c r="AW22" s="1097"/>
      <c r="AX22" s="1097"/>
      <c r="AY22" s="1097"/>
      <c r="AZ22" s="1097"/>
      <c r="BA22" s="1097"/>
      <c r="BB22" s="1097"/>
      <c r="BC22" s="1097"/>
      <c r="BD22" s="1097"/>
      <c r="BE22" s="1097"/>
      <c r="BF22" s="1097"/>
      <c r="BG22" s="1097"/>
      <c r="BH22" s="1097"/>
      <c r="BI22" s="1097"/>
      <c r="BJ22" s="1097"/>
      <c r="BK22" s="1097"/>
      <c r="BL22" s="1097"/>
      <c r="BM22" s="1097"/>
      <c r="BN22" s="1097"/>
      <c r="BO22" s="1097"/>
      <c r="BP22" s="1097"/>
      <c r="BQ22" s="1097"/>
      <c r="BR22" s="1097"/>
      <c r="BS22" s="1097"/>
      <c r="BT22" s="1097"/>
      <c r="BU22" s="1097"/>
      <c r="BV22" s="1097"/>
      <c r="BW22" s="1097"/>
      <c r="BX22" s="1097"/>
      <c r="BY22" s="1097"/>
      <c r="BZ22" s="1097"/>
      <c r="CA22" s="1097"/>
      <c r="CB22" s="1097"/>
      <c r="CC22" s="1097"/>
      <c r="CD22" s="1097"/>
      <c r="CE22" s="1097"/>
      <c r="CF22" s="1097"/>
      <c r="CG22" s="1097"/>
      <c r="CH22" s="1097"/>
      <c r="CI22" s="1097"/>
      <c r="CJ22" s="1097"/>
      <c r="CK22" s="1097"/>
      <c r="CL22" s="1097"/>
      <c r="CM22" s="1097"/>
      <c r="CN22" s="1097"/>
      <c r="CO22" s="1097"/>
      <c r="CP22" s="1097"/>
      <c r="CQ22" s="1097"/>
      <c r="CR22" s="1097"/>
      <c r="CS22" s="1097"/>
      <c r="CT22" s="1097"/>
      <c r="CU22" s="1097"/>
      <c r="CV22" s="1097"/>
      <c r="CW22" s="1097"/>
      <c r="CX22" s="1097"/>
      <c r="CY22" s="1097"/>
      <c r="CZ22" s="1097"/>
      <c r="DA22" s="1097"/>
      <c r="DB22" s="1097"/>
      <c r="DC22" s="1097"/>
      <c r="DD22" s="1097"/>
      <c r="DE22" s="1097"/>
      <c r="DF22" s="1097"/>
      <c r="DG22" s="1097"/>
      <c r="DH22" s="1097"/>
      <c r="DI22" s="1097"/>
      <c r="DJ22" s="1097"/>
      <c r="DK22" s="1097"/>
      <c r="DL22" s="1097"/>
      <c r="DM22" s="1097"/>
      <c r="DN22" s="1097"/>
      <c r="DO22" s="1097"/>
      <c r="DP22" s="1097"/>
      <c r="DQ22" s="1097"/>
      <c r="DR22" s="1097"/>
      <c r="DS22" s="1097"/>
      <c r="DT22" s="1097"/>
      <c r="DU22" s="1097"/>
      <c r="DV22" s="1097"/>
      <c r="DW22" s="1097"/>
      <c r="DX22" s="1097"/>
      <c r="DY22" s="1097"/>
      <c r="DZ22" s="1097"/>
      <c r="EA22" s="1097"/>
      <c r="EB22" s="1097"/>
      <c r="EC22" s="1097"/>
      <c r="ED22" s="1097"/>
      <c r="EE22" s="1097"/>
      <c r="EF22" s="1097"/>
      <c r="EG22" s="1097"/>
      <c r="EH22" s="1097"/>
      <c r="EI22" s="1097"/>
      <c r="EJ22" s="1097"/>
      <c r="EK22" s="1097"/>
      <c r="EL22" s="1097"/>
      <c r="EM22" s="1097"/>
      <c r="EN22" s="1097"/>
      <c r="EO22" s="1097"/>
      <c r="EP22" s="1097"/>
      <c r="EQ22" s="1097"/>
      <c r="ER22" s="1097"/>
      <c r="ES22" s="1097"/>
      <c r="ET22" s="1097"/>
      <c r="EU22" s="1097"/>
      <c r="EV22" s="1097"/>
      <c r="EW22" s="1097"/>
      <c r="EX22" s="1097"/>
      <c r="EY22" s="1097"/>
      <c r="EZ22" s="1097"/>
      <c r="FA22" s="1097"/>
      <c r="FB22" s="1097"/>
      <c r="FC22" s="1097"/>
      <c r="FD22" s="1097"/>
      <c r="FE22" s="1097"/>
      <c r="FF22" s="1097"/>
      <c r="FG22" s="1097"/>
      <c r="FH22" s="1097"/>
      <c r="FI22" s="1097"/>
      <c r="FJ22" s="1097"/>
      <c r="FK22" s="1097"/>
      <c r="FL22" s="1097"/>
      <c r="FM22" s="1097"/>
      <c r="FN22" s="1097"/>
      <c r="FO22" s="1097"/>
      <c r="FP22" s="1097"/>
      <c r="FQ22" s="1097"/>
      <c r="FR22" s="1097"/>
      <c r="FS22" s="1097"/>
      <c r="FT22" s="1097"/>
      <c r="FU22" s="1097"/>
      <c r="FV22" s="1097"/>
      <c r="FW22" s="1097"/>
      <c r="FX22" s="1097"/>
      <c r="FY22" s="1097"/>
      <c r="FZ22" s="1097"/>
      <c r="GA22" s="1097"/>
      <c r="GB22" s="1097"/>
      <c r="GC22" s="1097"/>
      <c r="GD22" s="1097"/>
      <c r="GE22" s="1097"/>
      <c r="GF22" s="1097"/>
      <c r="GG22" s="1097"/>
      <c r="GH22" s="1097"/>
      <c r="GI22" s="1097"/>
      <c r="GJ22" s="1097"/>
      <c r="GK22" s="1097"/>
      <c r="GL22" s="1097"/>
      <c r="GM22" s="1097"/>
      <c r="GN22" s="1097"/>
      <c r="GO22" s="1097"/>
      <c r="GP22" s="1097"/>
      <c r="GQ22" s="1097"/>
      <c r="GR22" s="1097"/>
      <c r="GS22" s="1097"/>
      <c r="GT22" s="1097"/>
      <c r="GU22" s="1097"/>
      <c r="GV22" s="1097"/>
      <c r="GW22" s="1097"/>
      <c r="GX22" s="1097"/>
      <c r="GY22" s="1097"/>
      <c r="GZ22" s="1097"/>
      <c r="HA22" s="1097"/>
      <c r="HB22" s="1097"/>
      <c r="HC22" s="1097"/>
      <c r="HD22" s="1097"/>
      <c r="HE22" s="1097"/>
      <c r="HF22" s="1097"/>
      <c r="HG22" s="1097"/>
      <c r="HH22" s="1097"/>
      <c r="HI22" s="1097"/>
      <c r="HJ22" s="1097"/>
      <c r="HK22" s="1097"/>
      <c r="HL22" s="1097"/>
      <c r="HM22" s="1097"/>
      <c r="HN22" s="1097"/>
      <c r="HO22" s="1097"/>
      <c r="HP22" s="1097"/>
      <c r="HQ22" s="1097"/>
      <c r="HR22" s="1097"/>
      <c r="HS22" s="1097"/>
      <c r="HT22" s="1097"/>
      <c r="HU22" s="1097"/>
      <c r="HV22" s="1097"/>
      <c r="HW22" s="1097"/>
      <c r="HX22" s="1097"/>
      <c r="HY22" s="1097"/>
      <c r="HZ22" s="1097"/>
      <c r="IA22" s="1097"/>
      <c r="IB22" s="1097"/>
      <c r="IC22" s="1097"/>
      <c r="ID22" s="1097"/>
      <c r="IE22" s="1097"/>
      <c r="IF22" s="1097"/>
      <c r="IG22" s="1097"/>
      <c r="IH22" s="1097"/>
      <c r="II22" s="1097"/>
      <c r="IJ22" s="1097"/>
      <c r="IK22" s="1097"/>
      <c r="IL22" s="1097"/>
      <c r="IM22" s="1097"/>
      <c r="IN22" s="1097"/>
      <c r="IO22" s="1097"/>
      <c r="IP22" s="1097"/>
      <c r="IQ22" s="1097"/>
      <c r="IR22" s="1097"/>
      <c r="IS22" s="1097"/>
      <c r="IT22" s="1097"/>
      <c r="IU22" s="1097"/>
      <c r="IV22" s="1097"/>
    </row>
    <row r="23" spans="1:256" ht="12.75" customHeight="1">
      <c r="A23" s="2258" t="s">
        <v>556</v>
      </c>
      <c r="B23" s="2259"/>
      <c r="C23" s="2259"/>
      <c r="D23" s="2259"/>
      <c r="E23" s="2259"/>
      <c r="F23" s="2259"/>
      <c r="G23" s="2259"/>
      <c r="H23" s="2259"/>
      <c r="I23" s="1095"/>
      <c r="J23" s="1095"/>
      <c r="K23" s="1095"/>
      <c r="L23" s="1095"/>
      <c r="M23" s="1095"/>
    </row>
    <row r="24" spans="1:256" ht="12.75" customHeight="1">
      <c r="A24" s="2264" t="s">
        <v>557</v>
      </c>
      <c r="B24" s="2259"/>
      <c r="C24" s="2259"/>
      <c r="D24" s="2259"/>
      <c r="E24" s="2259"/>
      <c r="F24" s="2259"/>
      <c r="G24" s="2259"/>
      <c r="H24" s="2259"/>
      <c r="I24" s="1095"/>
      <c r="J24" s="1095"/>
      <c r="K24" s="1095"/>
      <c r="L24" s="1095"/>
      <c r="M24" s="1095"/>
    </row>
    <row r="25" spans="1:256" ht="12.75" customHeight="1">
      <c r="A25" s="2258" t="s">
        <v>558</v>
      </c>
      <c r="B25" s="2259"/>
      <c r="C25" s="2259"/>
      <c r="D25" s="2259"/>
      <c r="E25" s="2259"/>
      <c r="F25" s="2259"/>
      <c r="G25" s="2259"/>
      <c r="H25" s="2259"/>
      <c r="I25" s="1095"/>
      <c r="J25" s="1095"/>
      <c r="K25" s="1095"/>
      <c r="L25" s="1095"/>
      <c r="M25" s="1095"/>
    </row>
    <row r="26" spans="1:256" customFormat="1" ht="12.75" customHeight="1"/>
    <row r="27" spans="1:256" customFormat="1" ht="12.75" customHeight="1"/>
    <row r="28" spans="1:256" ht="12.75" customHeight="1">
      <c r="A28" s="2427" t="s">
        <v>559</v>
      </c>
      <c r="B28" s="2427"/>
      <c r="C28" s="2427"/>
      <c r="D28" s="2427"/>
      <c r="E28" s="2427"/>
      <c r="F28" s="2427"/>
      <c r="G28" s="2427"/>
      <c r="H28" s="2427"/>
      <c r="I28" s="1095"/>
      <c r="J28" s="1095"/>
      <c r="K28" s="1095"/>
      <c r="L28" s="1095"/>
      <c r="M28" s="1095"/>
    </row>
    <row r="29" spans="1:256" s="1178" customFormat="1" ht="12.75" customHeight="1">
      <c r="A29" s="2238" t="s">
        <v>560</v>
      </c>
      <c r="B29" s="2239"/>
      <c r="C29" s="2239"/>
      <c r="D29" s="2239"/>
      <c r="E29" s="2239"/>
      <c r="F29" s="2239"/>
      <c r="G29" s="2239"/>
      <c r="H29" s="2239"/>
      <c r="I29" s="1176"/>
      <c r="J29" s="1177"/>
      <c r="K29" s="1177"/>
      <c r="L29" s="1177"/>
      <c r="M29" s="1177"/>
      <c r="N29" s="1177"/>
      <c r="O29" s="1177"/>
      <c r="P29" s="1177"/>
      <c r="Q29" s="1177"/>
      <c r="R29" s="1177"/>
      <c r="S29" s="1177"/>
      <c r="T29" s="1177"/>
      <c r="U29" s="1177"/>
      <c r="V29" s="1177"/>
      <c r="W29" s="1177"/>
      <c r="X29" s="1177"/>
      <c r="Y29" s="1177"/>
      <c r="Z29" s="1177"/>
      <c r="AA29" s="1177"/>
      <c r="AB29" s="1177"/>
      <c r="AC29" s="1177"/>
      <c r="AD29" s="1177"/>
      <c r="AE29" s="1177"/>
      <c r="AF29" s="1177"/>
      <c r="AG29" s="1177"/>
      <c r="AH29" s="1177"/>
      <c r="AI29" s="1177"/>
      <c r="AJ29" s="1177"/>
      <c r="AK29" s="1177"/>
      <c r="AL29" s="1177"/>
      <c r="AM29" s="1177"/>
      <c r="AN29" s="1177"/>
      <c r="AO29" s="1177"/>
      <c r="AP29" s="1177"/>
      <c r="AQ29" s="1177"/>
      <c r="AR29" s="1177"/>
      <c r="AS29" s="1177"/>
      <c r="AT29" s="1177"/>
      <c r="AU29" s="1177"/>
      <c r="AV29" s="1177"/>
      <c r="AW29" s="1177"/>
      <c r="AX29" s="1177"/>
      <c r="AY29" s="1177"/>
      <c r="AZ29" s="1177"/>
      <c r="BA29" s="1177"/>
      <c r="BB29" s="1177"/>
      <c r="BC29" s="1177"/>
      <c r="BD29" s="1177"/>
      <c r="BE29" s="1177"/>
      <c r="BF29" s="1177"/>
      <c r="BG29" s="1177"/>
      <c r="BH29" s="1177"/>
      <c r="BI29" s="1177"/>
      <c r="BJ29" s="1177"/>
      <c r="BK29" s="1177"/>
      <c r="BL29" s="1177"/>
      <c r="BM29" s="1177"/>
      <c r="BN29" s="1177"/>
      <c r="BO29" s="1177"/>
      <c r="BP29" s="1177"/>
      <c r="BQ29" s="1177"/>
      <c r="BR29" s="1177"/>
      <c r="BS29" s="1177"/>
      <c r="BT29" s="1177"/>
      <c r="BU29" s="1177"/>
      <c r="BV29" s="1177"/>
      <c r="BW29" s="1177"/>
      <c r="BX29" s="1177"/>
      <c r="BY29" s="1177"/>
      <c r="BZ29" s="1177"/>
      <c r="CA29" s="1177"/>
      <c r="CB29" s="1177"/>
      <c r="CC29" s="1177"/>
      <c r="CD29" s="1177"/>
      <c r="CE29" s="1177"/>
      <c r="CF29" s="1177"/>
      <c r="CG29" s="1177"/>
      <c r="CH29" s="1177"/>
      <c r="CI29" s="1177"/>
      <c r="CJ29" s="1177"/>
      <c r="CK29" s="1177"/>
      <c r="CL29" s="1177"/>
      <c r="CM29" s="1177"/>
      <c r="CN29" s="1177"/>
      <c r="CO29" s="1177"/>
      <c r="CP29" s="1177"/>
      <c r="CQ29" s="1177"/>
      <c r="CR29" s="1177"/>
      <c r="CS29" s="1177"/>
      <c r="CT29" s="1177"/>
      <c r="CU29" s="1177"/>
      <c r="CV29" s="1177"/>
      <c r="CW29" s="1177"/>
      <c r="CX29" s="1177"/>
      <c r="CY29" s="1177"/>
      <c r="CZ29" s="1177"/>
      <c r="DA29" s="1177"/>
      <c r="DB29" s="1177"/>
      <c r="DC29" s="1177"/>
      <c r="DD29" s="1177"/>
      <c r="DE29" s="1177"/>
      <c r="DF29" s="1177"/>
      <c r="DG29" s="1177"/>
      <c r="DH29" s="1177"/>
      <c r="DI29" s="1177"/>
      <c r="DJ29" s="1177"/>
      <c r="DK29" s="1177"/>
      <c r="DL29" s="1177"/>
      <c r="DM29" s="1177"/>
      <c r="DN29" s="1177"/>
      <c r="DO29" s="1177"/>
      <c r="DP29" s="1177"/>
      <c r="DQ29" s="1177"/>
      <c r="DR29" s="1177"/>
      <c r="DS29" s="1177"/>
      <c r="DT29" s="1177"/>
      <c r="DU29" s="1177"/>
      <c r="DV29" s="1177"/>
      <c r="DW29" s="1177"/>
      <c r="DX29" s="1177"/>
      <c r="DY29" s="1177"/>
      <c r="DZ29" s="1177"/>
      <c r="EA29" s="1177"/>
      <c r="EB29" s="1177"/>
      <c r="EC29" s="1177"/>
      <c r="ED29" s="1177"/>
      <c r="EE29" s="1177"/>
      <c r="EF29" s="1177"/>
      <c r="EG29" s="1177"/>
      <c r="EH29" s="1177"/>
      <c r="EI29" s="1177"/>
      <c r="EJ29" s="1177"/>
      <c r="EK29" s="1177"/>
      <c r="EL29" s="1177"/>
      <c r="EM29" s="1177"/>
      <c r="EN29" s="1177"/>
      <c r="EO29" s="1177"/>
      <c r="EP29" s="1177"/>
      <c r="EQ29" s="1177"/>
      <c r="ER29" s="1177"/>
      <c r="ES29" s="1177"/>
      <c r="ET29" s="1177"/>
      <c r="EU29" s="1177"/>
      <c r="EV29" s="1177"/>
      <c r="EW29" s="1177"/>
      <c r="EX29" s="1177"/>
      <c r="EY29" s="1177"/>
      <c r="EZ29" s="1177"/>
      <c r="FA29" s="1177"/>
      <c r="FB29" s="1177"/>
      <c r="FC29" s="1177"/>
      <c r="FD29" s="1177"/>
      <c r="FE29" s="1177"/>
      <c r="FF29" s="1177"/>
      <c r="FG29" s="1177"/>
      <c r="FH29" s="1177"/>
      <c r="FI29" s="1177"/>
      <c r="FJ29" s="1177"/>
      <c r="FK29" s="1177"/>
      <c r="FL29" s="1177"/>
      <c r="FM29" s="1177"/>
      <c r="FN29" s="1177"/>
      <c r="FO29" s="1177"/>
      <c r="FP29" s="1177"/>
      <c r="FQ29" s="1177"/>
      <c r="FR29" s="1177"/>
      <c r="FS29" s="1177"/>
      <c r="FT29" s="1177"/>
      <c r="FU29" s="1177"/>
      <c r="FV29" s="1177"/>
      <c r="FW29" s="1177"/>
      <c r="FX29" s="1177"/>
      <c r="FY29" s="1177"/>
      <c r="FZ29" s="1177"/>
      <c r="GA29" s="1177"/>
      <c r="GB29" s="1177"/>
      <c r="GC29" s="1177"/>
      <c r="GD29" s="1177"/>
      <c r="GE29" s="1177"/>
      <c r="GF29" s="1177"/>
      <c r="GG29" s="1177"/>
      <c r="GH29" s="1177"/>
      <c r="GI29" s="1177"/>
      <c r="GJ29" s="1177"/>
      <c r="GK29" s="1177"/>
      <c r="GL29" s="1177"/>
      <c r="GM29" s="1177"/>
      <c r="GN29" s="1177"/>
      <c r="GO29" s="1177"/>
      <c r="GP29" s="1177"/>
      <c r="GQ29" s="1177"/>
      <c r="GR29" s="1177"/>
      <c r="GS29" s="1177"/>
      <c r="GT29" s="1177"/>
      <c r="GU29" s="1177"/>
      <c r="GV29" s="1177"/>
      <c r="GW29" s="1177"/>
      <c r="GX29" s="1177"/>
      <c r="GY29" s="1177"/>
      <c r="GZ29" s="1177"/>
      <c r="HA29" s="1177"/>
      <c r="HB29" s="1177"/>
      <c r="HC29" s="1177"/>
      <c r="HD29" s="1177"/>
      <c r="HE29" s="1177"/>
      <c r="HF29" s="1177"/>
      <c r="HG29" s="1177"/>
      <c r="HH29" s="1177"/>
      <c r="HI29" s="1177"/>
      <c r="HJ29" s="1177"/>
      <c r="HK29" s="1177"/>
      <c r="HL29" s="1177"/>
      <c r="HM29" s="1177"/>
      <c r="HN29" s="1177"/>
      <c r="HO29" s="1177"/>
      <c r="HP29" s="1177"/>
      <c r="HQ29" s="1177"/>
      <c r="HR29" s="1177"/>
      <c r="HS29" s="1177"/>
      <c r="HT29" s="1177"/>
      <c r="HU29" s="1177"/>
      <c r="HV29" s="1177"/>
      <c r="HW29" s="1177"/>
      <c r="HX29" s="1177"/>
      <c r="HY29" s="1177"/>
      <c r="HZ29" s="1177"/>
      <c r="IA29" s="1177"/>
      <c r="IB29" s="1177"/>
      <c r="IC29" s="1177"/>
      <c r="ID29" s="1177"/>
      <c r="IE29" s="1177"/>
      <c r="IF29" s="1177"/>
      <c r="IG29" s="1177"/>
      <c r="IH29" s="1177"/>
      <c r="II29" s="1177"/>
      <c r="IJ29" s="1177"/>
      <c r="IK29" s="1177"/>
      <c r="IL29" s="1177"/>
      <c r="IM29" s="1177"/>
      <c r="IN29" s="1177"/>
      <c r="IO29" s="1177"/>
      <c r="IP29" s="1177"/>
      <c r="IQ29" s="1177"/>
      <c r="IR29" s="1177"/>
      <c r="IS29" s="1177"/>
      <c r="IT29" s="1177"/>
      <c r="IU29" s="1177"/>
      <c r="IV29" s="1177"/>
    </row>
    <row r="30" spans="1:256" ht="15.95" customHeight="1">
      <c r="A30" s="2363" t="s">
        <v>561</v>
      </c>
      <c r="B30" s="2363"/>
      <c r="C30" s="2363"/>
      <c r="D30" s="2363"/>
      <c r="E30" s="2363"/>
      <c r="F30" s="2363"/>
      <c r="G30" s="2363"/>
      <c r="H30" s="2363"/>
      <c r="I30" s="1095"/>
      <c r="J30" s="1095"/>
      <c r="K30" s="1095"/>
      <c r="L30" s="1095"/>
      <c r="M30" s="1095"/>
    </row>
    <row r="31" spans="1:256" s="1106" customFormat="1" ht="12.75" customHeight="1">
      <c r="A31" s="2428" t="s">
        <v>562</v>
      </c>
      <c r="B31" s="2429"/>
      <c r="C31" s="2429"/>
      <c r="D31" s="2429"/>
      <c r="E31" s="2429"/>
      <c r="F31" s="2429"/>
      <c r="G31" s="2429"/>
      <c r="H31" s="1179"/>
      <c r="I31" s="1172"/>
      <c r="J31" s="1172"/>
      <c r="K31" s="1172"/>
      <c r="L31" s="1172"/>
      <c r="M31" s="1172"/>
    </row>
    <row r="32" spans="1:256" s="1106" customFormat="1" ht="12.95" customHeight="1">
      <c r="A32" s="2428" t="s">
        <v>563</v>
      </c>
      <c r="B32" s="2429"/>
      <c r="C32" s="2429"/>
      <c r="D32" s="2429"/>
      <c r="E32" s="2429"/>
      <c r="F32" s="2429"/>
      <c r="G32" s="2429"/>
      <c r="H32" s="1179"/>
      <c r="I32" s="1172"/>
      <c r="J32" s="1172"/>
      <c r="K32" s="1172"/>
      <c r="L32" s="1172"/>
      <c r="M32" s="1172"/>
    </row>
    <row r="33" spans="1:256" ht="12.95" customHeight="1">
      <c r="A33" s="2428" t="s">
        <v>564</v>
      </c>
      <c r="B33" s="2429"/>
      <c r="C33" s="2429"/>
      <c r="D33" s="2429"/>
      <c r="E33" s="2429"/>
      <c r="F33" s="2429"/>
      <c r="G33" s="2429"/>
      <c r="H33" s="1180"/>
      <c r="I33" s="1095"/>
      <c r="J33" s="1095"/>
      <c r="K33" s="1095"/>
      <c r="L33" s="1095"/>
      <c r="M33" s="1095"/>
    </row>
    <row r="34" spans="1:256" customFormat="1" ht="12.95" customHeight="1"/>
    <row r="35" spans="1:256" s="1098" customFormat="1" ht="12.75" customHeight="1">
      <c r="A35" s="2239" t="s">
        <v>291</v>
      </c>
      <c r="B35" s="2239"/>
      <c r="C35" s="2239"/>
      <c r="D35" s="2239"/>
      <c r="E35" s="2239"/>
      <c r="F35" s="2239"/>
      <c r="G35" s="2239"/>
      <c r="H35" s="2239"/>
      <c r="I35" s="1096"/>
      <c r="J35" s="1096"/>
      <c r="K35" s="1096"/>
      <c r="L35" s="1096"/>
      <c r="M35" s="1096"/>
      <c r="N35" s="1097"/>
      <c r="O35" s="1097"/>
      <c r="P35" s="1097"/>
      <c r="Q35" s="1097"/>
      <c r="R35" s="1097"/>
      <c r="S35" s="1097"/>
      <c r="T35" s="1097"/>
      <c r="U35" s="1097"/>
      <c r="V35" s="1097"/>
      <c r="W35" s="1097"/>
      <c r="X35" s="1097"/>
      <c r="Y35" s="1097"/>
      <c r="Z35" s="1097"/>
      <c r="AA35" s="1097"/>
      <c r="AB35" s="1097"/>
      <c r="AC35" s="1097"/>
      <c r="AD35" s="1097"/>
      <c r="AE35" s="1097"/>
      <c r="AF35" s="1097"/>
      <c r="AG35" s="1097"/>
      <c r="AH35" s="1097"/>
      <c r="AI35" s="1097"/>
      <c r="AJ35" s="1097"/>
      <c r="AK35" s="1097"/>
      <c r="AL35" s="1097"/>
      <c r="AM35" s="1097"/>
      <c r="AN35" s="1097"/>
      <c r="AO35" s="1097"/>
      <c r="AP35" s="1097"/>
      <c r="AQ35" s="1097"/>
      <c r="AR35" s="1097"/>
      <c r="AS35" s="1097"/>
      <c r="AT35" s="1097"/>
      <c r="AU35" s="1097"/>
      <c r="AV35" s="1097"/>
      <c r="AW35" s="1097"/>
      <c r="AX35" s="1097"/>
      <c r="AY35" s="1097"/>
      <c r="AZ35" s="1097"/>
      <c r="BA35" s="1097"/>
      <c r="BB35" s="1097"/>
      <c r="BC35" s="1097"/>
      <c r="BD35" s="1097"/>
      <c r="BE35" s="1097"/>
      <c r="BF35" s="1097"/>
      <c r="BG35" s="1097"/>
      <c r="BH35" s="1097"/>
      <c r="BI35" s="1097"/>
      <c r="BJ35" s="1097"/>
      <c r="BK35" s="1097"/>
      <c r="BL35" s="1097"/>
      <c r="BM35" s="1097"/>
      <c r="BN35" s="1097"/>
      <c r="BO35" s="1097"/>
      <c r="BP35" s="1097"/>
      <c r="BQ35" s="1097"/>
      <c r="BR35" s="1097"/>
      <c r="BS35" s="1097"/>
      <c r="BT35" s="1097"/>
      <c r="BU35" s="1097"/>
      <c r="BV35" s="1097"/>
      <c r="BW35" s="1097"/>
      <c r="BX35" s="1097"/>
      <c r="BY35" s="1097"/>
      <c r="BZ35" s="1097"/>
      <c r="CA35" s="1097"/>
      <c r="CB35" s="1097"/>
      <c r="CC35" s="1097"/>
      <c r="CD35" s="1097"/>
      <c r="CE35" s="1097"/>
      <c r="CF35" s="1097"/>
      <c r="CG35" s="1097"/>
      <c r="CH35" s="1097"/>
      <c r="CI35" s="1097"/>
      <c r="CJ35" s="1097"/>
      <c r="CK35" s="1097"/>
      <c r="CL35" s="1097"/>
      <c r="CM35" s="1097"/>
      <c r="CN35" s="1097"/>
      <c r="CO35" s="1097"/>
      <c r="CP35" s="1097"/>
      <c r="CQ35" s="1097"/>
      <c r="CR35" s="1097"/>
      <c r="CS35" s="1097"/>
      <c r="CT35" s="1097"/>
      <c r="CU35" s="1097"/>
      <c r="CV35" s="1097"/>
      <c r="CW35" s="1097"/>
      <c r="CX35" s="1097"/>
      <c r="CY35" s="1097"/>
      <c r="CZ35" s="1097"/>
      <c r="DA35" s="1097"/>
      <c r="DB35" s="1097"/>
      <c r="DC35" s="1097"/>
      <c r="DD35" s="1097"/>
      <c r="DE35" s="1097"/>
      <c r="DF35" s="1097"/>
      <c r="DG35" s="1097"/>
      <c r="DH35" s="1097"/>
      <c r="DI35" s="1097"/>
      <c r="DJ35" s="1097"/>
      <c r="DK35" s="1097"/>
      <c r="DL35" s="1097"/>
      <c r="DM35" s="1097"/>
      <c r="DN35" s="1097"/>
      <c r="DO35" s="1097"/>
      <c r="DP35" s="1097"/>
      <c r="DQ35" s="1097"/>
      <c r="DR35" s="1097"/>
      <c r="DS35" s="1097"/>
      <c r="DT35" s="1097"/>
      <c r="DU35" s="1097"/>
      <c r="DV35" s="1097"/>
      <c r="DW35" s="1097"/>
      <c r="DX35" s="1097"/>
      <c r="DY35" s="1097"/>
      <c r="DZ35" s="1097"/>
      <c r="EA35" s="1097"/>
      <c r="EB35" s="1097"/>
      <c r="EC35" s="1097"/>
      <c r="ED35" s="1097"/>
      <c r="EE35" s="1097"/>
      <c r="EF35" s="1097"/>
      <c r="EG35" s="1097"/>
      <c r="EH35" s="1097"/>
      <c r="EI35" s="1097"/>
      <c r="EJ35" s="1097"/>
      <c r="EK35" s="1097"/>
      <c r="EL35" s="1097"/>
      <c r="EM35" s="1097"/>
      <c r="EN35" s="1097"/>
      <c r="EO35" s="1097"/>
      <c r="EP35" s="1097"/>
      <c r="EQ35" s="1097"/>
      <c r="ER35" s="1097"/>
      <c r="ES35" s="1097"/>
      <c r="ET35" s="1097"/>
      <c r="EU35" s="1097"/>
      <c r="EV35" s="1097"/>
      <c r="EW35" s="1097"/>
      <c r="EX35" s="1097"/>
      <c r="EY35" s="1097"/>
      <c r="EZ35" s="1097"/>
      <c r="FA35" s="1097"/>
      <c r="FB35" s="1097"/>
      <c r="FC35" s="1097"/>
      <c r="FD35" s="1097"/>
      <c r="FE35" s="1097"/>
      <c r="FF35" s="1097"/>
      <c r="FG35" s="1097"/>
      <c r="FH35" s="1097"/>
      <c r="FI35" s="1097"/>
      <c r="FJ35" s="1097"/>
      <c r="FK35" s="1097"/>
      <c r="FL35" s="1097"/>
      <c r="FM35" s="1097"/>
      <c r="FN35" s="1097"/>
      <c r="FO35" s="1097"/>
      <c r="FP35" s="1097"/>
      <c r="FQ35" s="1097"/>
      <c r="FR35" s="1097"/>
      <c r="FS35" s="1097"/>
      <c r="FT35" s="1097"/>
      <c r="FU35" s="1097"/>
      <c r="FV35" s="1097"/>
      <c r="FW35" s="1097"/>
      <c r="FX35" s="1097"/>
      <c r="FY35" s="1097"/>
      <c r="FZ35" s="1097"/>
      <c r="GA35" s="1097"/>
      <c r="GB35" s="1097"/>
      <c r="GC35" s="1097"/>
      <c r="GD35" s="1097"/>
      <c r="GE35" s="1097"/>
      <c r="GF35" s="1097"/>
      <c r="GG35" s="1097"/>
      <c r="GH35" s="1097"/>
      <c r="GI35" s="1097"/>
      <c r="GJ35" s="1097"/>
      <c r="GK35" s="1097"/>
      <c r="GL35" s="1097"/>
      <c r="GM35" s="1097"/>
      <c r="GN35" s="1097"/>
      <c r="GO35" s="1097"/>
      <c r="GP35" s="1097"/>
      <c r="GQ35" s="1097"/>
      <c r="GR35" s="1097"/>
      <c r="GS35" s="1097"/>
      <c r="GT35" s="1097"/>
      <c r="GU35" s="1097"/>
      <c r="GV35" s="1097"/>
      <c r="GW35" s="1097"/>
      <c r="GX35" s="1097"/>
      <c r="GY35" s="1097"/>
      <c r="GZ35" s="1097"/>
      <c r="HA35" s="1097"/>
      <c r="HB35" s="1097"/>
      <c r="HC35" s="1097"/>
      <c r="HD35" s="1097"/>
      <c r="HE35" s="1097"/>
      <c r="HF35" s="1097"/>
      <c r="HG35" s="1097"/>
      <c r="HH35" s="1097"/>
      <c r="HI35" s="1097"/>
      <c r="HJ35" s="1097"/>
      <c r="HK35" s="1097"/>
      <c r="HL35" s="1097"/>
      <c r="HM35" s="1097"/>
      <c r="HN35" s="1097"/>
      <c r="HO35" s="1097"/>
      <c r="HP35" s="1097"/>
      <c r="HQ35" s="1097"/>
      <c r="HR35" s="1097"/>
      <c r="HS35" s="1097"/>
      <c r="HT35" s="1097"/>
      <c r="HU35" s="1097"/>
      <c r="HV35" s="1097"/>
      <c r="HW35" s="1097"/>
      <c r="HX35" s="1097"/>
      <c r="HY35" s="1097"/>
      <c r="HZ35" s="1097"/>
      <c r="IA35" s="1097"/>
      <c r="IB35" s="1097"/>
      <c r="IC35" s="1097"/>
      <c r="ID35" s="1097"/>
      <c r="IE35" s="1097"/>
      <c r="IF35" s="1097"/>
      <c r="IG35" s="1097"/>
      <c r="IH35" s="1097"/>
      <c r="II35" s="1097"/>
      <c r="IJ35" s="1097"/>
      <c r="IK35" s="1097"/>
      <c r="IL35" s="1097"/>
      <c r="IM35" s="1097"/>
      <c r="IN35" s="1097"/>
      <c r="IO35" s="1097"/>
      <c r="IP35" s="1097"/>
      <c r="IQ35" s="1097"/>
      <c r="IR35" s="1097"/>
      <c r="IS35" s="1097"/>
      <c r="IT35" s="1097"/>
      <c r="IU35" s="1097"/>
      <c r="IV35" s="1097"/>
    </row>
    <row r="36" spans="1:256" ht="12.75" customHeight="1">
      <c r="A36" s="1181"/>
      <c r="B36" s="1175"/>
      <c r="C36" s="1175"/>
      <c r="D36" s="1175"/>
      <c r="E36" s="1175"/>
      <c r="F36" s="1175"/>
      <c r="G36" s="1175"/>
      <c r="H36" s="1180"/>
      <c r="I36" s="1095"/>
      <c r="J36" s="1095"/>
      <c r="K36" s="1095"/>
      <c r="L36" s="1095"/>
      <c r="M36" s="1095"/>
    </row>
    <row r="37" spans="1:256" s="1098" customFormat="1" ht="25.5" customHeight="1">
      <c r="A37" s="2239" t="s">
        <v>78</v>
      </c>
      <c r="B37" s="2239"/>
      <c r="C37" s="2239"/>
      <c r="D37" s="2239"/>
      <c r="E37" s="2239"/>
      <c r="F37" s="2239"/>
      <c r="G37" s="2239"/>
      <c r="H37" s="2239"/>
      <c r="I37" s="1096"/>
      <c r="J37" s="1096"/>
      <c r="K37" s="1096"/>
      <c r="L37" s="1096"/>
      <c r="M37" s="1096"/>
      <c r="N37" s="1097"/>
      <c r="O37" s="1097"/>
      <c r="P37" s="1097"/>
      <c r="Q37" s="1097"/>
      <c r="R37" s="1097"/>
      <c r="S37" s="1097"/>
      <c r="T37" s="1097"/>
      <c r="U37" s="1097"/>
      <c r="V37" s="1097"/>
      <c r="W37" s="1097"/>
      <c r="X37" s="1097"/>
      <c r="Y37" s="1097"/>
      <c r="Z37" s="1097"/>
      <c r="AA37" s="1097"/>
      <c r="AB37" s="1097"/>
      <c r="AC37" s="1097"/>
      <c r="AD37" s="1097"/>
      <c r="AE37" s="1097"/>
      <c r="AF37" s="1097"/>
      <c r="AG37" s="1097"/>
      <c r="AH37" s="1097"/>
      <c r="AI37" s="1097"/>
      <c r="AJ37" s="1097"/>
      <c r="AK37" s="1097"/>
      <c r="AL37" s="1097"/>
      <c r="AM37" s="1097"/>
      <c r="AN37" s="1097"/>
      <c r="AO37" s="1097"/>
      <c r="AP37" s="1097"/>
      <c r="AQ37" s="1097"/>
      <c r="AR37" s="1097"/>
      <c r="AS37" s="1097"/>
      <c r="AT37" s="1097"/>
      <c r="AU37" s="1097"/>
      <c r="AV37" s="1097"/>
      <c r="AW37" s="1097"/>
      <c r="AX37" s="1097"/>
      <c r="AY37" s="1097"/>
      <c r="AZ37" s="1097"/>
      <c r="BA37" s="1097"/>
      <c r="BB37" s="1097"/>
      <c r="BC37" s="1097"/>
      <c r="BD37" s="1097"/>
      <c r="BE37" s="1097"/>
      <c r="BF37" s="1097"/>
      <c r="BG37" s="1097"/>
      <c r="BH37" s="1097"/>
      <c r="BI37" s="1097"/>
      <c r="BJ37" s="1097"/>
      <c r="BK37" s="1097"/>
      <c r="BL37" s="1097"/>
      <c r="BM37" s="1097"/>
      <c r="BN37" s="1097"/>
      <c r="BO37" s="1097"/>
      <c r="BP37" s="1097"/>
      <c r="BQ37" s="1097"/>
      <c r="BR37" s="1097"/>
      <c r="BS37" s="1097"/>
      <c r="BT37" s="1097"/>
      <c r="BU37" s="1097"/>
      <c r="BV37" s="1097"/>
      <c r="BW37" s="1097"/>
      <c r="BX37" s="1097"/>
      <c r="BY37" s="1097"/>
      <c r="BZ37" s="1097"/>
      <c r="CA37" s="1097"/>
      <c r="CB37" s="1097"/>
      <c r="CC37" s="1097"/>
      <c r="CD37" s="1097"/>
      <c r="CE37" s="1097"/>
      <c r="CF37" s="1097"/>
      <c r="CG37" s="1097"/>
      <c r="CH37" s="1097"/>
      <c r="CI37" s="1097"/>
      <c r="CJ37" s="1097"/>
      <c r="CK37" s="1097"/>
      <c r="CL37" s="1097"/>
      <c r="CM37" s="1097"/>
      <c r="CN37" s="1097"/>
      <c r="CO37" s="1097"/>
      <c r="CP37" s="1097"/>
      <c r="CQ37" s="1097"/>
      <c r="CR37" s="1097"/>
      <c r="CS37" s="1097"/>
      <c r="CT37" s="1097"/>
      <c r="CU37" s="1097"/>
      <c r="CV37" s="1097"/>
      <c r="CW37" s="1097"/>
      <c r="CX37" s="1097"/>
      <c r="CY37" s="1097"/>
      <c r="CZ37" s="1097"/>
      <c r="DA37" s="1097"/>
      <c r="DB37" s="1097"/>
      <c r="DC37" s="1097"/>
      <c r="DD37" s="1097"/>
      <c r="DE37" s="1097"/>
      <c r="DF37" s="1097"/>
      <c r="DG37" s="1097"/>
      <c r="DH37" s="1097"/>
      <c r="DI37" s="1097"/>
      <c r="DJ37" s="1097"/>
      <c r="DK37" s="1097"/>
      <c r="DL37" s="1097"/>
      <c r="DM37" s="1097"/>
      <c r="DN37" s="1097"/>
      <c r="DO37" s="1097"/>
      <c r="DP37" s="1097"/>
      <c r="DQ37" s="1097"/>
      <c r="DR37" s="1097"/>
      <c r="DS37" s="1097"/>
      <c r="DT37" s="1097"/>
      <c r="DU37" s="1097"/>
      <c r="DV37" s="1097"/>
      <c r="DW37" s="1097"/>
      <c r="DX37" s="1097"/>
      <c r="DY37" s="1097"/>
      <c r="DZ37" s="1097"/>
      <c r="EA37" s="1097"/>
      <c r="EB37" s="1097"/>
      <c r="EC37" s="1097"/>
      <c r="ED37" s="1097"/>
      <c r="EE37" s="1097"/>
      <c r="EF37" s="1097"/>
      <c r="EG37" s="1097"/>
      <c r="EH37" s="1097"/>
      <c r="EI37" s="1097"/>
      <c r="EJ37" s="1097"/>
      <c r="EK37" s="1097"/>
      <c r="EL37" s="1097"/>
      <c r="EM37" s="1097"/>
      <c r="EN37" s="1097"/>
      <c r="EO37" s="1097"/>
      <c r="EP37" s="1097"/>
      <c r="EQ37" s="1097"/>
      <c r="ER37" s="1097"/>
      <c r="ES37" s="1097"/>
      <c r="ET37" s="1097"/>
      <c r="EU37" s="1097"/>
      <c r="EV37" s="1097"/>
      <c r="EW37" s="1097"/>
      <c r="EX37" s="1097"/>
      <c r="EY37" s="1097"/>
      <c r="EZ37" s="1097"/>
      <c r="FA37" s="1097"/>
      <c r="FB37" s="1097"/>
      <c r="FC37" s="1097"/>
      <c r="FD37" s="1097"/>
      <c r="FE37" s="1097"/>
      <c r="FF37" s="1097"/>
      <c r="FG37" s="1097"/>
      <c r="FH37" s="1097"/>
      <c r="FI37" s="1097"/>
      <c r="FJ37" s="1097"/>
      <c r="FK37" s="1097"/>
      <c r="FL37" s="1097"/>
      <c r="FM37" s="1097"/>
      <c r="FN37" s="1097"/>
      <c r="FO37" s="1097"/>
      <c r="FP37" s="1097"/>
      <c r="FQ37" s="1097"/>
      <c r="FR37" s="1097"/>
      <c r="FS37" s="1097"/>
      <c r="FT37" s="1097"/>
      <c r="FU37" s="1097"/>
      <c r="FV37" s="1097"/>
      <c r="FW37" s="1097"/>
      <c r="FX37" s="1097"/>
      <c r="FY37" s="1097"/>
      <c r="FZ37" s="1097"/>
      <c r="GA37" s="1097"/>
      <c r="GB37" s="1097"/>
      <c r="GC37" s="1097"/>
      <c r="GD37" s="1097"/>
      <c r="GE37" s="1097"/>
      <c r="GF37" s="1097"/>
      <c r="GG37" s="1097"/>
      <c r="GH37" s="1097"/>
      <c r="GI37" s="1097"/>
      <c r="GJ37" s="1097"/>
      <c r="GK37" s="1097"/>
      <c r="GL37" s="1097"/>
      <c r="GM37" s="1097"/>
      <c r="GN37" s="1097"/>
      <c r="GO37" s="1097"/>
      <c r="GP37" s="1097"/>
      <c r="GQ37" s="1097"/>
      <c r="GR37" s="1097"/>
      <c r="GS37" s="1097"/>
      <c r="GT37" s="1097"/>
      <c r="GU37" s="1097"/>
      <c r="GV37" s="1097"/>
      <c r="GW37" s="1097"/>
      <c r="GX37" s="1097"/>
      <c r="GY37" s="1097"/>
      <c r="GZ37" s="1097"/>
      <c r="HA37" s="1097"/>
      <c r="HB37" s="1097"/>
      <c r="HC37" s="1097"/>
      <c r="HD37" s="1097"/>
      <c r="HE37" s="1097"/>
      <c r="HF37" s="1097"/>
      <c r="HG37" s="1097"/>
      <c r="HH37" s="1097"/>
      <c r="HI37" s="1097"/>
      <c r="HJ37" s="1097"/>
      <c r="HK37" s="1097"/>
      <c r="HL37" s="1097"/>
      <c r="HM37" s="1097"/>
      <c r="HN37" s="1097"/>
      <c r="HO37" s="1097"/>
      <c r="HP37" s="1097"/>
      <c r="HQ37" s="1097"/>
      <c r="HR37" s="1097"/>
      <c r="HS37" s="1097"/>
      <c r="HT37" s="1097"/>
      <c r="HU37" s="1097"/>
      <c r="HV37" s="1097"/>
      <c r="HW37" s="1097"/>
      <c r="HX37" s="1097"/>
      <c r="HY37" s="1097"/>
      <c r="HZ37" s="1097"/>
      <c r="IA37" s="1097"/>
      <c r="IB37" s="1097"/>
      <c r="IC37" s="1097"/>
      <c r="ID37" s="1097"/>
      <c r="IE37" s="1097"/>
      <c r="IF37" s="1097"/>
      <c r="IG37" s="1097"/>
      <c r="IH37" s="1097"/>
      <c r="II37" s="1097"/>
      <c r="IJ37" s="1097"/>
      <c r="IK37" s="1097"/>
      <c r="IL37" s="1097"/>
      <c r="IM37" s="1097"/>
      <c r="IN37" s="1097"/>
      <c r="IO37" s="1097"/>
      <c r="IP37" s="1097"/>
      <c r="IQ37" s="1097"/>
      <c r="IR37" s="1097"/>
      <c r="IS37" s="1097"/>
      <c r="IT37" s="1097"/>
      <c r="IU37" s="1097"/>
      <c r="IV37" s="1097"/>
    </row>
    <row r="38" spans="1:256" customFormat="1" ht="12.75" customHeight="1"/>
    <row r="39" spans="1:256" s="1098" customFormat="1" ht="12.75" customHeight="1">
      <c r="A39" s="2239" t="s">
        <v>79</v>
      </c>
      <c r="B39" s="2239"/>
      <c r="C39" s="2239"/>
      <c r="D39" s="2239"/>
      <c r="E39" s="2239"/>
      <c r="F39" s="2239"/>
      <c r="G39" s="2239"/>
      <c r="H39" s="2239"/>
      <c r="I39" s="1096"/>
      <c r="J39" s="1096"/>
      <c r="K39" s="1096"/>
      <c r="L39" s="1096"/>
      <c r="M39" s="1096"/>
      <c r="N39" s="1097"/>
      <c r="O39" s="1097"/>
      <c r="P39" s="1097"/>
      <c r="Q39" s="1097"/>
      <c r="R39" s="1097"/>
      <c r="S39" s="1097"/>
      <c r="T39" s="1097"/>
      <c r="U39" s="1097"/>
      <c r="V39" s="1097"/>
      <c r="W39" s="1097"/>
      <c r="X39" s="1097"/>
      <c r="Y39" s="1097"/>
      <c r="Z39" s="1097"/>
      <c r="AA39" s="1097"/>
      <c r="AB39" s="1097"/>
      <c r="AC39" s="1097"/>
      <c r="AD39" s="1097"/>
      <c r="AE39" s="1097"/>
      <c r="AF39" s="1097"/>
      <c r="AG39" s="1097"/>
      <c r="AH39" s="1097"/>
      <c r="AI39" s="1097"/>
      <c r="AJ39" s="1097"/>
      <c r="AK39" s="1097"/>
      <c r="AL39" s="1097"/>
      <c r="AM39" s="1097"/>
      <c r="AN39" s="1097"/>
      <c r="AO39" s="1097"/>
      <c r="AP39" s="1097"/>
      <c r="AQ39" s="1097"/>
      <c r="AR39" s="1097"/>
      <c r="AS39" s="1097"/>
      <c r="AT39" s="1097"/>
      <c r="AU39" s="1097"/>
      <c r="AV39" s="1097"/>
      <c r="AW39" s="1097"/>
      <c r="AX39" s="1097"/>
      <c r="AY39" s="1097"/>
      <c r="AZ39" s="1097"/>
      <c r="BA39" s="1097"/>
      <c r="BB39" s="1097"/>
      <c r="BC39" s="1097"/>
      <c r="BD39" s="1097"/>
      <c r="BE39" s="1097"/>
      <c r="BF39" s="1097"/>
      <c r="BG39" s="1097"/>
      <c r="BH39" s="1097"/>
      <c r="BI39" s="1097"/>
      <c r="BJ39" s="1097"/>
      <c r="BK39" s="1097"/>
      <c r="BL39" s="1097"/>
      <c r="BM39" s="1097"/>
      <c r="BN39" s="1097"/>
      <c r="BO39" s="1097"/>
      <c r="BP39" s="1097"/>
      <c r="BQ39" s="1097"/>
      <c r="BR39" s="1097"/>
      <c r="BS39" s="1097"/>
      <c r="BT39" s="1097"/>
      <c r="BU39" s="1097"/>
      <c r="BV39" s="1097"/>
      <c r="BW39" s="1097"/>
      <c r="BX39" s="1097"/>
      <c r="BY39" s="1097"/>
      <c r="BZ39" s="1097"/>
      <c r="CA39" s="1097"/>
      <c r="CB39" s="1097"/>
      <c r="CC39" s="1097"/>
      <c r="CD39" s="1097"/>
      <c r="CE39" s="1097"/>
      <c r="CF39" s="1097"/>
      <c r="CG39" s="1097"/>
      <c r="CH39" s="1097"/>
      <c r="CI39" s="1097"/>
      <c r="CJ39" s="1097"/>
      <c r="CK39" s="1097"/>
      <c r="CL39" s="1097"/>
      <c r="CM39" s="1097"/>
      <c r="CN39" s="1097"/>
      <c r="CO39" s="1097"/>
      <c r="CP39" s="1097"/>
      <c r="CQ39" s="1097"/>
      <c r="CR39" s="1097"/>
      <c r="CS39" s="1097"/>
      <c r="CT39" s="1097"/>
      <c r="CU39" s="1097"/>
      <c r="CV39" s="1097"/>
      <c r="CW39" s="1097"/>
      <c r="CX39" s="1097"/>
      <c r="CY39" s="1097"/>
      <c r="CZ39" s="1097"/>
      <c r="DA39" s="1097"/>
      <c r="DB39" s="1097"/>
      <c r="DC39" s="1097"/>
      <c r="DD39" s="1097"/>
      <c r="DE39" s="1097"/>
      <c r="DF39" s="1097"/>
      <c r="DG39" s="1097"/>
      <c r="DH39" s="1097"/>
      <c r="DI39" s="1097"/>
      <c r="DJ39" s="1097"/>
      <c r="DK39" s="1097"/>
      <c r="DL39" s="1097"/>
      <c r="DM39" s="1097"/>
      <c r="DN39" s="1097"/>
      <c r="DO39" s="1097"/>
      <c r="DP39" s="1097"/>
      <c r="DQ39" s="1097"/>
      <c r="DR39" s="1097"/>
      <c r="DS39" s="1097"/>
      <c r="DT39" s="1097"/>
      <c r="DU39" s="1097"/>
      <c r="DV39" s="1097"/>
      <c r="DW39" s="1097"/>
      <c r="DX39" s="1097"/>
      <c r="DY39" s="1097"/>
      <c r="DZ39" s="1097"/>
      <c r="EA39" s="1097"/>
      <c r="EB39" s="1097"/>
      <c r="EC39" s="1097"/>
      <c r="ED39" s="1097"/>
      <c r="EE39" s="1097"/>
      <c r="EF39" s="1097"/>
      <c r="EG39" s="1097"/>
      <c r="EH39" s="1097"/>
      <c r="EI39" s="1097"/>
      <c r="EJ39" s="1097"/>
      <c r="EK39" s="1097"/>
      <c r="EL39" s="1097"/>
      <c r="EM39" s="1097"/>
      <c r="EN39" s="1097"/>
      <c r="EO39" s="1097"/>
      <c r="EP39" s="1097"/>
      <c r="EQ39" s="1097"/>
      <c r="ER39" s="1097"/>
      <c r="ES39" s="1097"/>
      <c r="ET39" s="1097"/>
      <c r="EU39" s="1097"/>
      <c r="EV39" s="1097"/>
      <c r="EW39" s="1097"/>
      <c r="EX39" s="1097"/>
      <c r="EY39" s="1097"/>
      <c r="EZ39" s="1097"/>
      <c r="FA39" s="1097"/>
      <c r="FB39" s="1097"/>
      <c r="FC39" s="1097"/>
      <c r="FD39" s="1097"/>
      <c r="FE39" s="1097"/>
      <c r="FF39" s="1097"/>
      <c r="FG39" s="1097"/>
      <c r="FH39" s="1097"/>
      <c r="FI39" s="1097"/>
      <c r="FJ39" s="1097"/>
      <c r="FK39" s="1097"/>
      <c r="FL39" s="1097"/>
      <c r="FM39" s="1097"/>
      <c r="FN39" s="1097"/>
      <c r="FO39" s="1097"/>
      <c r="FP39" s="1097"/>
      <c r="FQ39" s="1097"/>
      <c r="FR39" s="1097"/>
      <c r="FS39" s="1097"/>
      <c r="FT39" s="1097"/>
      <c r="FU39" s="1097"/>
      <c r="FV39" s="1097"/>
      <c r="FW39" s="1097"/>
      <c r="FX39" s="1097"/>
      <c r="FY39" s="1097"/>
      <c r="FZ39" s="1097"/>
      <c r="GA39" s="1097"/>
      <c r="GB39" s="1097"/>
      <c r="GC39" s="1097"/>
      <c r="GD39" s="1097"/>
      <c r="GE39" s="1097"/>
      <c r="GF39" s="1097"/>
      <c r="GG39" s="1097"/>
      <c r="GH39" s="1097"/>
      <c r="GI39" s="1097"/>
      <c r="GJ39" s="1097"/>
      <c r="GK39" s="1097"/>
      <c r="GL39" s="1097"/>
      <c r="GM39" s="1097"/>
      <c r="GN39" s="1097"/>
      <c r="GO39" s="1097"/>
      <c r="GP39" s="1097"/>
      <c r="GQ39" s="1097"/>
      <c r="GR39" s="1097"/>
      <c r="GS39" s="1097"/>
      <c r="GT39" s="1097"/>
      <c r="GU39" s="1097"/>
      <c r="GV39" s="1097"/>
      <c r="GW39" s="1097"/>
      <c r="GX39" s="1097"/>
      <c r="GY39" s="1097"/>
      <c r="GZ39" s="1097"/>
      <c r="HA39" s="1097"/>
      <c r="HB39" s="1097"/>
      <c r="HC39" s="1097"/>
      <c r="HD39" s="1097"/>
      <c r="HE39" s="1097"/>
      <c r="HF39" s="1097"/>
      <c r="HG39" s="1097"/>
      <c r="HH39" s="1097"/>
      <c r="HI39" s="1097"/>
      <c r="HJ39" s="1097"/>
      <c r="HK39" s="1097"/>
      <c r="HL39" s="1097"/>
      <c r="HM39" s="1097"/>
      <c r="HN39" s="1097"/>
      <c r="HO39" s="1097"/>
      <c r="HP39" s="1097"/>
      <c r="HQ39" s="1097"/>
      <c r="HR39" s="1097"/>
      <c r="HS39" s="1097"/>
      <c r="HT39" s="1097"/>
      <c r="HU39" s="1097"/>
      <c r="HV39" s="1097"/>
      <c r="HW39" s="1097"/>
      <c r="HX39" s="1097"/>
      <c r="HY39" s="1097"/>
      <c r="HZ39" s="1097"/>
      <c r="IA39" s="1097"/>
      <c r="IB39" s="1097"/>
      <c r="IC39" s="1097"/>
      <c r="ID39" s="1097"/>
      <c r="IE39" s="1097"/>
      <c r="IF39" s="1097"/>
      <c r="IG39" s="1097"/>
      <c r="IH39" s="1097"/>
      <c r="II39" s="1097"/>
      <c r="IJ39" s="1097"/>
      <c r="IK39" s="1097"/>
      <c r="IL39" s="1097"/>
      <c r="IM39" s="1097"/>
      <c r="IN39" s="1097"/>
      <c r="IO39" s="1097"/>
      <c r="IP39" s="1097"/>
      <c r="IQ39" s="1097"/>
      <c r="IR39" s="1097"/>
      <c r="IS39" s="1097"/>
      <c r="IT39" s="1097"/>
      <c r="IU39" s="1097"/>
      <c r="IV39" s="1097"/>
    </row>
    <row r="40" spans="1:256" customFormat="1" ht="12.75" customHeight="1"/>
    <row r="41" spans="1:256" ht="12.95" customHeight="1">
      <c r="A41" s="2239" t="s">
        <v>80</v>
      </c>
      <c r="B41" s="2239"/>
      <c r="C41" s="2239"/>
      <c r="D41" s="2239"/>
      <c r="E41" s="2239"/>
      <c r="F41" s="2239"/>
      <c r="G41" s="2239"/>
      <c r="H41" s="2239"/>
    </row>
    <row r="42" spans="1:256" customFormat="1" ht="12.75" customHeight="1"/>
    <row r="43" spans="1:256" customFormat="1" ht="12.75" customHeight="1"/>
    <row r="44" spans="1:256" ht="12.75" customHeight="1">
      <c r="A44" s="2427" t="s">
        <v>81</v>
      </c>
      <c r="B44" s="2427"/>
      <c r="C44" s="2427"/>
      <c r="D44" s="2427"/>
      <c r="E44" s="2427"/>
      <c r="F44" s="2427"/>
      <c r="G44" s="2427"/>
      <c r="H44" s="2427"/>
    </row>
    <row r="45" spans="1:256" ht="12.75" customHeight="1">
      <c r="A45" s="2430" t="s">
        <v>82</v>
      </c>
      <c r="B45" s="2430"/>
      <c r="C45" s="2430"/>
      <c r="D45" s="2430"/>
      <c r="E45" s="2430"/>
      <c r="F45" s="2430"/>
      <c r="G45" s="2430"/>
      <c r="H45" s="2430"/>
    </row>
    <row r="46" spans="1:256" customFormat="1"/>
    <row r="47" spans="1:256" s="1098" customFormat="1" ht="12.75" customHeight="1">
      <c r="A47" s="2239" t="s">
        <v>83</v>
      </c>
      <c r="B47" s="2239"/>
      <c r="C47" s="2239"/>
      <c r="D47" s="2239"/>
      <c r="E47" s="2239"/>
      <c r="F47" s="2239"/>
      <c r="G47" s="2239"/>
      <c r="H47" s="2239"/>
      <c r="I47" s="1097"/>
      <c r="J47" s="1097"/>
      <c r="K47" s="1097"/>
      <c r="L47" s="1097"/>
      <c r="M47" s="1097"/>
      <c r="N47" s="1097"/>
      <c r="O47" s="1097"/>
      <c r="P47" s="1097"/>
      <c r="Q47" s="1097"/>
      <c r="R47" s="1097"/>
      <c r="S47" s="1097"/>
      <c r="T47" s="1097"/>
      <c r="U47" s="1097"/>
      <c r="V47" s="1097"/>
      <c r="W47" s="1097"/>
      <c r="X47" s="1097"/>
      <c r="Y47" s="1097"/>
      <c r="Z47" s="1097"/>
      <c r="AA47" s="1097"/>
      <c r="AB47" s="1097"/>
      <c r="AC47" s="1097"/>
      <c r="AD47" s="1097"/>
      <c r="AE47" s="1097"/>
      <c r="AF47" s="1097"/>
      <c r="AG47" s="1097"/>
      <c r="AH47" s="1097"/>
      <c r="AI47" s="1097"/>
      <c r="AJ47" s="1097"/>
      <c r="AK47" s="1097"/>
      <c r="AL47" s="1097"/>
      <c r="AM47" s="1097"/>
      <c r="AN47" s="1097"/>
      <c r="AO47" s="1097"/>
      <c r="AP47" s="1097"/>
      <c r="AQ47" s="1097"/>
      <c r="AR47" s="1097"/>
      <c r="AS47" s="1097"/>
      <c r="AT47" s="1097"/>
      <c r="AU47" s="1097"/>
      <c r="AV47" s="1097"/>
      <c r="AW47" s="1097"/>
      <c r="AX47" s="1097"/>
      <c r="AY47" s="1097"/>
      <c r="AZ47" s="1097"/>
      <c r="BA47" s="1097"/>
      <c r="BB47" s="1097"/>
      <c r="BC47" s="1097"/>
      <c r="BD47" s="1097"/>
      <c r="BE47" s="1097"/>
      <c r="BF47" s="1097"/>
      <c r="BG47" s="1097"/>
      <c r="BH47" s="1097"/>
      <c r="BI47" s="1097"/>
      <c r="BJ47" s="1097"/>
      <c r="BK47" s="1097"/>
      <c r="BL47" s="1097"/>
      <c r="BM47" s="1097"/>
      <c r="BN47" s="1097"/>
      <c r="BO47" s="1097"/>
      <c r="BP47" s="1097"/>
      <c r="BQ47" s="1097"/>
      <c r="BR47" s="1097"/>
      <c r="BS47" s="1097"/>
      <c r="BT47" s="1097"/>
      <c r="BU47" s="1097"/>
      <c r="BV47" s="1097"/>
      <c r="BW47" s="1097"/>
      <c r="BX47" s="1097"/>
      <c r="BY47" s="1097"/>
      <c r="BZ47" s="1097"/>
      <c r="CA47" s="1097"/>
      <c r="CB47" s="1097"/>
      <c r="CC47" s="1097"/>
      <c r="CD47" s="1097"/>
      <c r="CE47" s="1097"/>
      <c r="CF47" s="1097"/>
      <c r="CG47" s="1097"/>
      <c r="CH47" s="1097"/>
      <c r="CI47" s="1097"/>
      <c r="CJ47" s="1097"/>
      <c r="CK47" s="1097"/>
      <c r="CL47" s="1097"/>
      <c r="CM47" s="1097"/>
      <c r="CN47" s="1097"/>
      <c r="CO47" s="1097"/>
      <c r="CP47" s="1097"/>
      <c r="CQ47" s="1097"/>
      <c r="CR47" s="1097"/>
      <c r="CS47" s="1097"/>
      <c r="CT47" s="1097"/>
      <c r="CU47" s="1097"/>
      <c r="CV47" s="1097"/>
      <c r="CW47" s="1097"/>
      <c r="CX47" s="1097"/>
      <c r="CY47" s="1097"/>
      <c r="CZ47" s="1097"/>
      <c r="DA47" s="1097"/>
      <c r="DB47" s="1097"/>
      <c r="DC47" s="1097"/>
      <c r="DD47" s="1097"/>
      <c r="DE47" s="1097"/>
      <c r="DF47" s="1097"/>
      <c r="DG47" s="1097"/>
      <c r="DH47" s="1097"/>
      <c r="DI47" s="1097"/>
      <c r="DJ47" s="1097"/>
      <c r="DK47" s="1097"/>
      <c r="DL47" s="1097"/>
      <c r="DM47" s="1097"/>
      <c r="DN47" s="1097"/>
      <c r="DO47" s="1097"/>
      <c r="DP47" s="1097"/>
      <c r="DQ47" s="1097"/>
      <c r="DR47" s="1097"/>
      <c r="DS47" s="1097"/>
      <c r="DT47" s="1097"/>
      <c r="DU47" s="1097"/>
      <c r="DV47" s="1097"/>
      <c r="DW47" s="1097"/>
      <c r="DX47" s="1097"/>
      <c r="DY47" s="1097"/>
      <c r="DZ47" s="1097"/>
      <c r="EA47" s="1097"/>
      <c r="EB47" s="1097"/>
      <c r="EC47" s="1097"/>
      <c r="ED47" s="1097"/>
      <c r="EE47" s="1097"/>
      <c r="EF47" s="1097"/>
      <c r="EG47" s="1097"/>
      <c r="EH47" s="1097"/>
      <c r="EI47" s="1097"/>
      <c r="EJ47" s="1097"/>
      <c r="EK47" s="1097"/>
      <c r="EL47" s="1097"/>
      <c r="EM47" s="1097"/>
      <c r="EN47" s="1097"/>
      <c r="EO47" s="1097"/>
      <c r="EP47" s="1097"/>
      <c r="EQ47" s="1097"/>
      <c r="ER47" s="1097"/>
      <c r="ES47" s="1097"/>
      <c r="ET47" s="1097"/>
      <c r="EU47" s="1097"/>
      <c r="EV47" s="1097"/>
      <c r="EW47" s="1097"/>
      <c r="EX47" s="1097"/>
      <c r="EY47" s="1097"/>
      <c r="EZ47" s="1097"/>
      <c r="FA47" s="1097"/>
      <c r="FB47" s="1097"/>
      <c r="FC47" s="1097"/>
      <c r="FD47" s="1097"/>
      <c r="FE47" s="1097"/>
      <c r="FF47" s="1097"/>
      <c r="FG47" s="1097"/>
      <c r="FH47" s="1097"/>
      <c r="FI47" s="1097"/>
      <c r="FJ47" s="1097"/>
      <c r="FK47" s="1097"/>
      <c r="FL47" s="1097"/>
      <c r="FM47" s="1097"/>
      <c r="FN47" s="1097"/>
      <c r="FO47" s="1097"/>
      <c r="FP47" s="1097"/>
      <c r="FQ47" s="1097"/>
      <c r="FR47" s="1097"/>
      <c r="FS47" s="1097"/>
      <c r="FT47" s="1097"/>
      <c r="FU47" s="1097"/>
      <c r="FV47" s="1097"/>
      <c r="FW47" s="1097"/>
      <c r="FX47" s="1097"/>
      <c r="FY47" s="1097"/>
      <c r="FZ47" s="1097"/>
      <c r="GA47" s="1097"/>
      <c r="GB47" s="1097"/>
      <c r="GC47" s="1097"/>
      <c r="GD47" s="1097"/>
      <c r="GE47" s="1097"/>
      <c r="GF47" s="1097"/>
      <c r="GG47" s="1097"/>
      <c r="GH47" s="1097"/>
      <c r="GI47" s="1097"/>
      <c r="GJ47" s="1097"/>
      <c r="GK47" s="1097"/>
      <c r="GL47" s="1097"/>
      <c r="GM47" s="1097"/>
      <c r="GN47" s="1097"/>
      <c r="GO47" s="1097"/>
      <c r="GP47" s="1097"/>
      <c r="GQ47" s="1097"/>
      <c r="GR47" s="1097"/>
      <c r="GS47" s="1097"/>
      <c r="GT47" s="1097"/>
      <c r="GU47" s="1097"/>
      <c r="GV47" s="1097"/>
      <c r="GW47" s="1097"/>
      <c r="GX47" s="1097"/>
      <c r="GY47" s="1097"/>
      <c r="GZ47" s="1097"/>
      <c r="HA47" s="1097"/>
      <c r="HB47" s="1097"/>
      <c r="HC47" s="1097"/>
      <c r="HD47" s="1097"/>
      <c r="HE47" s="1097"/>
      <c r="HF47" s="1097"/>
      <c r="HG47" s="1097"/>
      <c r="HH47" s="1097"/>
      <c r="HI47" s="1097"/>
      <c r="HJ47" s="1097"/>
      <c r="HK47" s="1097"/>
      <c r="HL47" s="1097"/>
      <c r="HM47" s="1097"/>
      <c r="HN47" s="1097"/>
      <c r="HO47" s="1097"/>
      <c r="HP47" s="1097"/>
      <c r="HQ47" s="1097"/>
      <c r="HR47" s="1097"/>
      <c r="HS47" s="1097"/>
      <c r="HT47" s="1097"/>
      <c r="HU47" s="1097"/>
      <c r="HV47" s="1097"/>
      <c r="HW47" s="1097"/>
      <c r="HX47" s="1097"/>
      <c r="HY47" s="1097"/>
      <c r="HZ47" s="1097"/>
      <c r="IA47" s="1097"/>
      <c r="IB47" s="1097"/>
      <c r="IC47" s="1097"/>
      <c r="ID47" s="1097"/>
      <c r="IE47" s="1097"/>
      <c r="IF47" s="1097"/>
      <c r="IG47" s="1097"/>
      <c r="IH47" s="1097"/>
      <c r="II47" s="1097"/>
      <c r="IJ47" s="1097"/>
      <c r="IK47" s="1097"/>
      <c r="IL47" s="1097"/>
      <c r="IM47" s="1097"/>
      <c r="IN47" s="1097"/>
      <c r="IO47" s="1097"/>
      <c r="IP47" s="1097"/>
      <c r="IQ47" s="1097"/>
      <c r="IR47" s="1097"/>
      <c r="IS47" s="1097"/>
      <c r="IT47" s="1097"/>
      <c r="IU47" s="1097"/>
      <c r="IV47" s="1097"/>
    </row>
    <row r="48" spans="1:256" customFormat="1"/>
    <row r="49" spans="1:256" s="1098" customFormat="1" ht="12.75" customHeight="1">
      <c r="A49" s="2239" t="s">
        <v>84</v>
      </c>
      <c r="B49" s="2239"/>
      <c r="C49" s="2239"/>
      <c r="D49" s="2239"/>
      <c r="E49" s="2239"/>
      <c r="F49" s="2239"/>
      <c r="G49" s="2239"/>
      <c r="H49" s="2239"/>
      <c r="I49" s="1097"/>
      <c r="J49" s="1097"/>
      <c r="K49" s="1097"/>
      <c r="L49" s="1097"/>
      <c r="M49" s="1097"/>
      <c r="N49" s="1097"/>
      <c r="O49" s="1097"/>
      <c r="P49" s="1097"/>
      <c r="Q49" s="1097"/>
      <c r="R49" s="1097"/>
      <c r="S49" s="1097"/>
      <c r="T49" s="1097"/>
      <c r="U49" s="1097"/>
      <c r="V49" s="1097"/>
      <c r="W49" s="1097"/>
      <c r="X49" s="1097"/>
      <c r="Y49" s="1097"/>
      <c r="Z49" s="1097"/>
      <c r="AA49" s="1097"/>
      <c r="AB49" s="1097"/>
      <c r="AC49" s="1097"/>
      <c r="AD49" s="1097"/>
      <c r="AE49" s="1097"/>
      <c r="AF49" s="1097"/>
      <c r="AG49" s="1097"/>
      <c r="AH49" s="1097"/>
      <c r="AI49" s="1097"/>
      <c r="AJ49" s="1097"/>
      <c r="AK49" s="1097"/>
      <c r="AL49" s="1097"/>
      <c r="AM49" s="1097"/>
      <c r="AN49" s="1097"/>
      <c r="AO49" s="1097"/>
      <c r="AP49" s="1097"/>
      <c r="AQ49" s="1097"/>
      <c r="AR49" s="1097"/>
      <c r="AS49" s="1097"/>
      <c r="AT49" s="1097"/>
      <c r="AU49" s="1097"/>
      <c r="AV49" s="1097"/>
      <c r="AW49" s="1097"/>
      <c r="AX49" s="1097"/>
      <c r="AY49" s="1097"/>
      <c r="AZ49" s="1097"/>
      <c r="BA49" s="1097"/>
      <c r="BB49" s="1097"/>
      <c r="BC49" s="1097"/>
      <c r="BD49" s="1097"/>
      <c r="BE49" s="1097"/>
      <c r="BF49" s="1097"/>
      <c r="BG49" s="1097"/>
      <c r="BH49" s="1097"/>
      <c r="BI49" s="1097"/>
      <c r="BJ49" s="1097"/>
      <c r="BK49" s="1097"/>
      <c r="BL49" s="1097"/>
      <c r="BM49" s="1097"/>
      <c r="BN49" s="1097"/>
      <c r="BO49" s="1097"/>
      <c r="BP49" s="1097"/>
      <c r="BQ49" s="1097"/>
      <c r="BR49" s="1097"/>
      <c r="BS49" s="1097"/>
      <c r="BT49" s="1097"/>
      <c r="BU49" s="1097"/>
      <c r="BV49" s="1097"/>
      <c r="BW49" s="1097"/>
      <c r="BX49" s="1097"/>
      <c r="BY49" s="1097"/>
      <c r="BZ49" s="1097"/>
      <c r="CA49" s="1097"/>
      <c r="CB49" s="1097"/>
      <c r="CC49" s="1097"/>
      <c r="CD49" s="1097"/>
      <c r="CE49" s="1097"/>
      <c r="CF49" s="1097"/>
      <c r="CG49" s="1097"/>
      <c r="CH49" s="1097"/>
      <c r="CI49" s="1097"/>
      <c r="CJ49" s="1097"/>
      <c r="CK49" s="1097"/>
      <c r="CL49" s="1097"/>
      <c r="CM49" s="1097"/>
      <c r="CN49" s="1097"/>
      <c r="CO49" s="1097"/>
      <c r="CP49" s="1097"/>
      <c r="CQ49" s="1097"/>
      <c r="CR49" s="1097"/>
      <c r="CS49" s="1097"/>
      <c r="CT49" s="1097"/>
      <c r="CU49" s="1097"/>
      <c r="CV49" s="1097"/>
      <c r="CW49" s="1097"/>
      <c r="CX49" s="1097"/>
      <c r="CY49" s="1097"/>
      <c r="CZ49" s="1097"/>
      <c r="DA49" s="1097"/>
      <c r="DB49" s="1097"/>
      <c r="DC49" s="1097"/>
      <c r="DD49" s="1097"/>
      <c r="DE49" s="1097"/>
      <c r="DF49" s="1097"/>
      <c r="DG49" s="1097"/>
      <c r="DH49" s="1097"/>
      <c r="DI49" s="1097"/>
      <c r="DJ49" s="1097"/>
      <c r="DK49" s="1097"/>
      <c r="DL49" s="1097"/>
      <c r="DM49" s="1097"/>
      <c r="DN49" s="1097"/>
      <c r="DO49" s="1097"/>
      <c r="DP49" s="1097"/>
      <c r="DQ49" s="1097"/>
      <c r="DR49" s="1097"/>
      <c r="DS49" s="1097"/>
      <c r="DT49" s="1097"/>
      <c r="DU49" s="1097"/>
      <c r="DV49" s="1097"/>
      <c r="DW49" s="1097"/>
      <c r="DX49" s="1097"/>
      <c r="DY49" s="1097"/>
      <c r="DZ49" s="1097"/>
      <c r="EA49" s="1097"/>
      <c r="EB49" s="1097"/>
      <c r="EC49" s="1097"/>
      <c r="ED49" s="1097"/>
      <c r="EE49" s="1097"/>
      <c r="EF49" s="1097"/>
      <c r="EG49" s="1097"/>
      <c r="EH49" s="1097"/>
      <c r="EI49" s="1097"/>
      <c r="EJ49" s="1097"/>
      <c r="EK49" s="1097"/>
      <c r="EL49" s="1097"/>
      <c r="EM49" s="1097"/>
      <c r="EN49" s="1097"/>
      <c r="EO49" s="1097"/>
      <c r="EP49" s="1097"/>
      <c r="EQ49" s="1097"/>
      <c r="ER49" s="1097"/>
      <c r="ES49" s="1097"/>
      <c r="ET49" s="1097"/>
      <c r="EU49" s="1097"/>
      <c r="EV49" s="1097"/>
      <c r="EW49" s="1097"/>
      <c r="EX49" s="1097"/>
      <c r="EY49" s="1097"/>
      <c r="EZ49" s="1097"/>
      <c r="FA49" s="1097"/>
      <c r="FB49" s="1097"/>
      <c r="FC49" s="1097"/>
      <c r="FD49" s="1097"/>
      <c r="FE49" s="1097"/>
      <c r="FF49" s="1097"/>
      <c r="FG49" s="1097"/>
      <c r="FH49" s="1097"/>
      <c r="FI49" s="1097"/>
      <c r="FJ49" s="1097"/>
      <c r="FK49" s="1097"/>
      <c r="FL49" s="1097"/>
      <c r="FM49" s="1097"/>
      <c r="FN49" s="1097"/>
      <c r="FO49" s="1097"/>
      <c r="FP49" s="1097"/>
      <c r="FQ49" s="1097"/>
      <c r="FR49" s="1097"/>
      <c r="FS49" s="1097"/>
      <c r="FT49" s="1097"/>
      <c r="FU49" s="1097"/>
      <c r="FV49" s="1097"/>
      <c r="FW49" s="1097"/>
      <c r="FX49" s="1097"/>
      <c r="FY49" s="1097"/>
      <c r="FZ49" s="1097"/>
      <c r="GA49" s="1097"/>
      <c r="GB49" s="1097"/>
      <c r="GC49" s="1097"/>
      <c r="GD49" s="1097"/>
      <c r="GE49" s="1097"/>
      <c r="GF49" s="1097"/>
      <c r="GG49" s="1097"/>
      <c r="GH49" s="1097"/>
      <c r="GI49" s="1097"/>
      <c r="GJ49" s="1097"/>
      <c r="GK49" s="1097"/>
      <c r="GL49" s="1097"/>
      <c r="GM49" s="1097"/>
      <c r="GN49" s="1097"/>
      <c r="GO49" s="1097"/>
      <c r="GP49" s="1097"/>
      <c r="GQ49" s="1097"/>
      <c r="GR49" s="1097"/>
      <c r="GS49" s="1097"/>
      <c r="GT49" s="1097"/>
      <c r="GU49" s="1097"/>
      <c r="GV49" s="1097"/>
      <c r="GW49" s="1097"/>
      <c r="GX49" s="1097"/>
      <c r="GY49" s="1097"/>
      <c r="GZ49" s="1097"/>
      <c r="HA49" s="1097"/>
      <c r="HB49" s="1097"/>
      <c r="HC49" s="1097"/>
      <c r="HD49" s="1097"/>
      <c r="HE49" s="1097"/>
      <c r="HF49" s="1097"/>
      <c r="HG49" s="1097"/>
      <c r="HH49" s="1097"/>
      <c r="HI49" s="1097"/>
      <c r="HJ49" s="1097"/>
      <c r="HK49" s="1097"/>
      <c r="HL49" s="1097"/>
      <c r="HM49" s="1097"/>
      <c r="HN49" s="1097"/>
      <c r="HO49" s="1097"/>
      <c r="HP49" s="1097"/>
      <c r="HQ49" s="1097"/>
      <c r="HR49" s="1097"/>
      <c r="HS49" s="1097"/>
      <c r="HT49" s="1097"/>
      <c r="HU49" s="1097"/>
      <c r="HV49" s="1097"/>
      <c r="HW49" s="1097"/>
      <c r="HX49" s="1097"/>
      <c r="HY49" s="1097"/>
      <c r="HZ49" s="1097"/>
      <c r="IA49" s="1097"/>
      <c r="IB49" s="1097"/>
      <c r="IC49" s="1097"/>
      <c r="ID49" s="1097"/>
      <c r="IE49" s="1097"/>
      <c r="IF49" s="1097"/>
      <c r="IG49" s="1097"/>
      <c r="IH49" s="1097"/>
      <c r="II49" s="1097"/>
      <c r="IJ49" s="1097"/>
      <c r="IK49" s="1097"/>
      <c r="IL49" s="1097"/>
      <c r="IM49" s="1097"/>
      <c r="IN49" s="1097"/>
      <c r="IO49" s="1097"/>
      <c r="IP49" s="1097"/>
      <c r="IQ49" s="1097"/>
      <c r="IR49" s="1097"/>
      <c r="IS49" s="1097"/>
      <c r="IT49" s="1097"/>
      <c r="IU49" s="1097"/>
      <c r="IV49" s="1097"/>
    </row>
    <row r="50" spans="1:256" customFormat="1"/>
    <row r="51" spans="1:256" customFormat="1"/>
    <row r="52" spans="1:256" ht="25.5" customHeight="1">
      <c r="A52" s="2427" t="s">
        <v>85</v>
      </c>
      <c r="B52" s="2427"/>
      <c r="C52" s="2427"/>
      <c r="D52" s="2427"/>
      <c r="E52" s="2427"/>
      <c r="F52" s="2427"/>
      <c r="G52" s="2427"/>
      <c r="H52" s="2427"/>
    </row>
    <row r="53" spans="1:256" customFormat="1" ht="12.75" customHeight="1"/>
    <row r="54" spans="1:256" customFormat="1"/>
    <row r="55" spans="1:256" ht="12.75" customHeight="1">
      <c r="A55" s="2427" t="s">
        <v>86</v>
      </c>
      <c r="B55" s="2427"/>
      <c r="C55" s="2427"/>
      <c r="D55" s="2427"/>
      <c r="E55" s="2427"/>
      <c r="F55" s="2427"/>
      <c r="G55" s="2427"/>
      <c r="H55" s="2427"/>
    </row>
    <row r="56" spans="1:256" ht="12.75" customHeight="1">
      <c r="A56" s="2430" t="s">
        <v>87</v>
      </c>
      <c r="B56" s="2430"/>
      <c r="C56" s="2430"/>
      <c r="D56" s="2430"/>
      <c r="E56" s="2430"/>
      <c r="F56" s="2430"/>
      <c r="G56" s="2430"/>
      <c r="H56" s="2430"/>
    </row>
    <row r="57" spans="1:256" customFormat="1"/>
    <row r="58" spans="1:256" ht="12.75" customHeight="1">
      <c r="A58" s="2239" t="s">
        <v>88</v>
      </c>
      <c r="B58" s="2239"/>
      <c r="C58" s="2239"/>
      <c r="D58" s="2239"/>
      <c r="E58" s="2239"/>
      <c r="F58" s="2239"/>
      <c r="G58" s="2239"/>
      <c r="H58" s="2239"/>
    </row>
    <row r="59" spans="1:256" customFormat="1"/>
    <row r="60" spans="1:256" ht="12.75" customHeight="1">
      <c r="A60" s="2239" t="s">
        <v>80</v>
      </c>
      <c r="B60" s="2239"/>
      <c r="C60" s="2239"/>
      <c r="D60" s="2239"/>
      <c r="E60" s="2239"/>
      <c r="F60" s="2239"/>
      <c r="G60" s="2239"/>
      <c r="H60" s="2239"/>
    </row>
    <row r="61" spans="1:256" customFormat="1"/>
    <row r="62" spans="1:256" customFormat="1"/>
    <row r="63" spans="1:256" customFormat="1"/>
    <row r="64" spans="1:256" customFormat="1"/>
    <row r="65" customFormat="1"/>
    <row r="66" customFormat="1"/>
    <row r="67" customFormat="1"/>
    <row r="68" customFormat="1"/>
    <row r="69" customFormat="1"/>
    <row r="70" customFormat="1"/>
    <row r="71" customFormat="1"/>
    <row r="72" customFormat="1"/>
    <row r="73" customFormat="1"/>
  </sheetData>
  <sheetProtection algorithmName="SHA-512" hashValue="wcWjj/OBjr2bhbb6ctEaHP4uagzip3WlU6E3sSoOTpGHwSpqssYPhp70REcTLQjYIm+wEtXq4O9rGrVI7+L42g==" saltValue="A5BsYQ4ROwahWOonS7ozUA==" spinCount="100000" sheet="1" objects="1" scenarios="1"/>
  <mergeCells count="34">
    <mergeCell ref="A25:H25"/>
    <mergeCell ref="A28:H28"/>
    <mergeCell ref="A29:H29"/>
    <mergeCell ref="A30:H30"/>
    <mergeCell ref="A31:G31"/>
    <mergeCell ref="A60:H60"/>
    <mergeCell ref="A49:H49"/>
    <mergeCell ref="A52:H52"/>
    <mergeCell ref="A55:H55"/>
    <mergeCell ref="A32:G32"/>
    <mergeCell ref="A33:G33"/>
    <mergeCell ref="A35:H35"/>
    <mergeCell ref="A37:H37"/>
    <mergeCell ref="A41:H41"/>
    <mergeCell ref="A44:H44"/>
    <mergeCell ref="A45:H45"/>
    <mergeCell ref="A47:H47"/>
    <mergeCell ref="A56:H56"/>
    <mergeCell ref="A58:H58"/>
    <mergeCell ref="A39:H39"/>
    <mergeCell ref="A23:H23"/>
    <mergeCell ref="A24:H24"/>
    <mergeCell ref="A22:H22"/>
    <mergeCell ref="E1:F1"/>
    <mergeCell ref="A3:H3"/>
    <mergeCell ref="A6:H6"/>
    <mergeCell ref="A7:H7"/>
    <mergeCell ref="A10:H10"/>
    <mergeCell ref="A12:H12"/>
    <mergeCell ref="A14:G14"/>
    <mergeCell ref="A15:H15"/>
    <mergeCell ref="A16:H16"/>
    <mergeCell ref="A19:G19"/>
    <mergeCell ref="A21:H21"/>
  </mergeCells>
  <hyperlinks>
    <hyperlink ref="E1" location="Sommaire!A1" display="Retour Sommaire"/>
  </hyperlinks>
  <printOptions horizontalCentered="1"/>
  <pageMargins left="0.59055118110236227" right="0.59055118110236227" top="0.59055118110236227" bottom="0.59055118110236227" header="0.51181102362204722" footer="0.27559055118110237"/>
  <pageSetup paperSize="9" scale="90" firstPageNumber="0" orientation="portrait" r:id="rId1"/>
  <headerFooter alignWithMargins="0">
    <oddFooter>&amp;LRSU 2020 - Présentation au CTP&amp;R&amp;P/&amp;N
&amp;A</oddFooter>
  </headerFooter>
</worksheet>
</file>

<file path=xl/worksheets/sheet32.xml><?xml version="1.0" encoding="utf-8"?>
<worksheet xmlns="http://schemas.openxmlformats.org/spreadsheetml/2006/main" xmlns:r="http://schemas.openxmlformats.org/officeDocument/2006/relationships">
  <sheetPr codeName="Feuil24">
    <pageSetUpPr fitToPage="1"/>
  </sheetPr>
  <dimension ref="A1:H65"/>
  <sheetViews>
    <sheetView showGridLines="0" zoomScaleSheetLayoutView="100" workbookViewId="0"/>
  </sheetViews>
  <sheetFormatPr baseColWidth="10" defaultColWidth="10.85546875" defaultRowHeight="12.75" customHeight="1"/>
  <cols>
    <col min="1" max="1" width="49.28515625" customWidth="1"/>
    <col min="2" max="4" width="15.28515625" customWidth="1"/>
    <col min="5" max="5" width="14.140625" customWidth="1"/>
    <col min="6" max="6" width="13.42578125" customWidth="1"/>
    <col min="7" max="7" width="11" customWidth="1"/>
  </cols>
  <sheetData>
    <row r="1" spans="1:5" ht="17.100000000000001" customHeight="1">
      <c r="B1" s="2245" t="s">
        <v>958</v>
      </c>
      <c r="C1" s="2245"/>
    </row>
    <row r="2" spans="1:5" ht="12.75" customHeight="1" thickBot="1"/>
    <row r="3" spans="1:5">
      <c r="A3" s="2286" t="s">
        <v>2353</v>
      </c>
      <c r="B3" s="2286"/>
      <c r="C3" s="2286"/>
      <c r="D3" s="2286"/>
    </row>
    <row r="5" spans="1:5" ht="27" customHeight="1">
      <c r="A5" s="2279" t="s">
        <v>2354</v>
      </c>
      <c r="B5" s="2279"/>
      <c r="C5" s="2279"/>
      <c r="D5" s="2279"/>
    </row>
    <row r="7" spans="1:5" ht="13.5" thickBot="1">
      <c r="A7" s="2369" t="s">
        <v>986</v>
      </c>
      <c r="B7" s="2369"/>
      <c r="C7" s="2369"/>
      <c r="D7" s="2369"/>
      <c r="E7" s="388"/>
    </row>
    <row r="8" spans="1:5">
      <c r="B8" s="1188">
        <v>1</v>
      </c>
      <c r="C8" s="1188">
        <v>2</v>
      </c>
      <c r="D8" s="1188">
        <v>0</v>
      </c>
      <c r="E8" s="1188" t="s">
        <v>1307</v>
      </c>
    </row>
    <row r="9" spans="1:5">
      <c r="A9" s="389" t="s">
        <v>2355</v>
      </c>
      <c r="B9" s="119" t="s">
        <v>707</v>
      </c>
      <c r="C9" s="119" t="s">
        <v>708</v>
      </c>
      <c r="D9" s="342" t="s">
        <v>768</v>
      </c>
      <c r="E9" s="1204" t="s">
        <v>987</v>
      </c>
    </row>
    <row r="10" spans="1:5" ht="24">
      <c r="A10" s="882" t="s">
        <v>1047</v>
      </c>
      <c r="B10" s="584">
        <v>0</v>
      </c>
      <c r="C10" s="584">
        <v>37</v>
      </c>
      <c r="D10" s="480">
        <f t="shared" ref="D10:D15" si="0">B10+C10</f>
        <v>37</v>
      </c>
      <c r="E10" s="1188">
        <v>10</v>
      </c>
    </row>
    <row r="11" spans="1:5" ht="52.5" customHeight="1">
      <c r="A11" s="103" t="s">
        <v>800</v>
      </c>
      <c r="B11" s="584">
        <v>51</v>
      </c>
      <c r="C11" s="584">
        <v>140</v>
      </c>
      <c r="D11" s="480">
        <f t="shared" si="0"/>
        <v>191</v>
      </c>
      <c r="E11" s="1188">
        <v>20</v>
      </c>
    </row>
    <row r="12" spans="1:5" ht="27" customHeight="1">
      <c r="A12" s="883" t="s">
        <v>1171</v>
      </c>
      <c r="B12" s="705">
        <v>5</v>
      </c>
      <c r="C12" s="705">
        <v>55</v>
      </c>
      <c r="D12" s="740">
        <f t="shared" si="0"/>
        <v>60</v>
      </c>
      <c r="E12" s="1188">
        <v>21</v>
      </c>
    </row>
    <row r="13" spans="1:5" ht="29.25" customHeight="1">
      <c r="A13" s="103" t="s">
        <v>801</v>
      </c>
      <c r="B13" s="584">
        <v>16</v>
      </c>
      <c r="C13" s="584">
        <v>29</v>
      </c>
      <c r="D13" s="480">
        <f t="shared" si="0"/>
        <v>45</v>
      </c>
      <c r="E13" s="1188">
        <v>22</v>
      </c>
    </row>
    <row r="14" spans="1:5" ht="24">
      <c r="A14" s="103" t="s">
        <v>802</v>
      </c>
      <c r="B14" s="584"/>
      <c r="C14" s="584"/>
      <c r="D14" s="480">
        <f t="shared" si="0"/>
        <v>0</v>
      </c>
      <c r="E14" s="1188">
        <v>79</v>
      </c>
    </row>
    <row r="15" spans="1:5" ht="24">
      <c r="A15" s="117" t="s">
        <v>803</v>
      </c>
      <c r="B15" s="584"/>
      <c r="C15" s="584"/>
      <c r="D15" s="480">
        <f t="shared" si="0"/>
        <v>0</v>
      </c>
      <c r="E15" s="1188">
        <v>80</v>
      </c>
    </row>
    <row r="17" spans="1:5" ht="24">
      <c r="A17" s="118" t="s">
        <v>1671</v>
      </c>
      <c r="B17" s="119" t="s">
        <v>707</v>
      </c>
      <c r="C17" s="119" t="s">
        <v>708</v>
      </c>
      <c r="D17" s="119" t="s">
        <v>768</v>
      </c>
    </row>
    <row r="18" spans="1:5">
      <c r="A18" s="120" t="s">
        <v>1672</v>
      </c>
      <c r="B18" s="630">
        <v>2</v>
      </c>
      <c r="C18" s="630">
        <v>6</v>
      </c>
      <c r="D18" s="480">
        <f>B18+C18</f>
        <v>8</v>
      </c>
      <c r="E18" s="1188">
        <v>41</v>
      </c>
    </row>
    <row r="19" spans="1:5">
      <c r="A19" s="120" t="s">
        <v>1673</v>
      </c>
      <c r="B19" s="630"/>
      <c r="C19" s="630"/>
      <c r="D19" s="480">
        <f>B19+C19</f>
        <v>0</v>
      </c>
      <c r="E19" s="1188">
        <v>42</v>
      </c>
    </row>
    <row r="20" spans="1:5">
      <c r="A20" s="120" t="s">
        <v>1165</v>
      </c>
      <c r="B20" s="630">
        <v>1</v>
      </c>
      <c r="C20" s="630">
        <v>0</v>
      </c>
      <c r="D20" s="480">
        <f>B20+C20</f>
        <v>1</v>
      </c>
      <c r="E20" s="1188">
        <v>43</v>
      </c>
    </row>
    <row r="21" spans="1:5">
      <c r="A21" s="120" t="s">
        <v>1674</v>
      </c>
      <c r="B21" s="630">
        <v>0</v>
      </c>
      <c r="C21" s="630">
        <v>1</v>
      </c>
      <c r="D21" s="480">
        <f>B21+C21</f>
        <v>1</v>
      </c>
      <c r="E21" s="1188">
        <v>44</v>
      </c>
    </row>
    <row r="23" spans="1:5">
      <c r="A23" s="961" t="s">
        <v>1023</v>
      </c>
      <c r="B23" s="961"/>
      <c r="C23" s="961"/>
      <c r="D23" s="961"/>
      <c r="E23" s="1021"/>
    </row>
    <row r="24" spans="1:5" ht="23.25" customHeight="1"/>
    <row r="25" spans="1:5" ht="24">
      <c r="A25" s="104" t="s">
        <v>988</v>
      </c>
      <c r="B25" s="119" t="s">
        <v>707</v>
      </c>
      <c r="C25" s="119" t="s">
        <v>708</v>
      </c>
      <c r="D25" s="119" t="s">
        <v>768</v>
      </c>
    </row>
    <row r="26" spans="1:5">
      <c r="A26" s="360" t="s">
        <v>989</v>
      </c>
      <c r="B26" s="584">
        <v>1</v>
      </c>
      <c r="C26" s="584">
        <v>0</v>
      </c>
      <c r="D26" s="480">
        <f>B26+C26</f>
        <v>1</v>
      </c>
      <c r="E26" s="1188">
        <v>51</v>
      </c>
    </row>
    <row r="27" spans="1:5">
      <c r="A27" s="121" t="s">
        <v>2003</v>
      </c>
      <c r="B27" s="584"/>
      <c r="C27" s="584"/>
      <c r="D27" s="480">
        <f>B27+C27</f>
        <v>0</v>
      </c>
      <c r="E27" s="1188">
        <v>52</v>
      </c>
    </row>
    <row r="28" spans="1:5">
      <c r="A28" s="121" t="s">
        <v>2004</v>
      </c>
      <c r="B28" s="584">
        <v>7</v>
      </c>
      <c r="C28" s="584">
        <v>18</v>
      </c>
      <c r="D28" s="480">
        <f>B28+C28</f>
        <v>25</v>
      </c>
      <c r="E28" s="1188">
        <v>53</v>
      </c>
    </row>
    <row r="29" spans="1:5" ht="21.75" customHeight="1"/>
    <row r="30" spans="1:5" ht="34.5" customHeight="1">
      <c r="A30" s="118" t="s">
        <v>174</v>
      </c>
      <c r="B30" s="119" t="s">
        <v>707</v>
      </c>
      <c r="C30" s="119" t="s">
        <v>708</v>
      </c>
      <c r="D30" s="119" t="s">
        <v>768</v>
      </c>
    </row>
    <row r="31" spans="1:5">
      <c r="A31" s="297" t="s">
        <v>2005</v>
      </c>
      <c r="B31" s="584">
        <v>2</v>
      </c>
      <c r="C31" s="584">
        <v>6</v>
      </c>
      <c r="D31" s="480">
        <f>B31+C31</f>
        <v>8</v>
      </c>
      <c r="E31" s="1188">
        <v>70</v>
      </c>
    </row>
    <row r="32" spans="1:5">
      <c r="A32" s="885" t="s">
        <v>2006</v>
      </c>
      <c r="B32" s="741">
        <v>0</v>
      </c>
      <c r="C32" s="741">
        <v>4</v>
      </c>
      <c r="D32" s="740">
        <f>B32+C32</f>
        <v>4</v>
      </c>
      <c r="E32" s="1188">
        <v>71</v>
      </c>
    </row>
    <row r="36" spans="1:8" ht="13.5" thickBot="1">
      <c r="A36" s="2433" t="s">
        <v>2007</v>
      </c>
      <c r="B36" s="2433"/>
      <c r="C36" s="2433"/>
      <c r="D36" s="2433"/>
      <c r="E36" s="2433"/>
      <c r="F36" s="2433"/>
      <c r="G36" s="2433"/>
      <c r="H36" s="414"/>
    </row>
    <row r="38" spans="1:8" ht="22.5" customHeight="1">
      <c r="A38" s="2435" t="s">
        <v>2355</v>
      </c>
      <c r="B38" s="2281" t="s">
        <v>2008</v>
      </c>
      <c r="C38" s="2281"/>
      <c r="D38" s="2281" t="s">
        <v>2009</v>
      </c>
      <c r="E38" s="2281"/>
      <c r="F38" s="2439" t="s">
        <v>2010</v>
      </c>
      <c r="G38" s="2439"/>
      <c r="H38" s="414"/>
    </row>
    <row r="39" spans="1:8" ht="22.5" customHeight="1">
      <c r="A39" s="2436"/>
      <c r="B39" s="119" t="s">
        <v>707</v>
      </c>
      <c r="C39" s="119" t="s">
        <v>708</v>
      </c>
      <c r="D39" s="119" t="s">
        <v>707</v>
      </c>
      <c r="E39" s="119" t="s">
        <v>708</v>
      </c>
      <c r="F39" s="119" t="s">
        <v>707</v>
      </c>
      <c r="G39" s="119" t="s">
        <v>708</v>
      </c>
      <c r="H39" s="414"/>
    </row>
    <row r="40" spans="1:8" ht="21" customHeight="1">
      <c r="A40" s="123" t="s">
        <v>2011</v>
      </c>
      <c r="B40" s="1205">
        <v>1</v>
      </c>
      <c r="C40" s="1205">
        <v>1</v>
      </c>
      <c r="D40" s="1205">
        <v>2</v>
      </c>
      <c r="E40" s="1205">
        <v>2</v>
      </c>
      <c r="F40" s="1205">
        <v>3</v>
      </c>
      <c r="G40" s="1205">
        <v>3</v>
      </c>
      <c r="H40" s="1188" t="s">
        <v>2012</v>
      </c>
    </row>
    <row r="41" spans="1:8">
      <c r="A41" s="120" t="s">
        <v>1672</v>
      </c>
      <c r="B41" s="630">
        <v>0</v>
      </c>
      <c r="C41" s="584">
        <v>1</v>
      </c>
      <c r="D41" s="584">
        <v>0</v>
      </c>
      <c r="E41" s="584">
        <v>0</v>
      </c>
      <c r="F41" s="584">
        <v>0</v>
      </c>
      <c r="G41" s="584">
        <v>0</v>
      </c>
      <c r="H41" s="1188">
        <v>1</v>
      </c>
    </row>
    <row r="42" spans="1:8">
      <c r="A42" s="122" t="s">
        <v>1673</v>
      </c>
      <c r="B42" s="584"/>
      <c r="C42" s="584"/>
      <c r="D42" s="584"/>
      <c r="E42" s="584"/>
      <c r="F42" s="584"/>
      <c r="G42" s="584"/>
      <c r="H42" s="1188">
        <v>2</v>
      </c>
    </row>
    <row r="43" spans="1:8">
      <c r="A43" s="123" t="s">
        <v>1165</v>
      </c>
      <c r="B43" s="584">
        <v>0</v>
      </c>
      <c r="C43" s="584">
        <v>3</v>
      </c>
      <c r="D43" s="584">
        <v>2</v>
      </c>
      <c r="E43" s="584">
        <v>0</v>
      </c>
      <c r="F43" s="584">
        <v>1</v>
      </c>
      <c r="G43" s="584">
        <v>1</v>
      </c>
      <c r="H43" s="1188">
        <v>3</v>
      </c>
    </row>
    <row r="44" spans="1:8">
      <c r="A44" s="123" t="s">
        <v>1675</v>
      </c>
      <c r="B44" s="584"/>
      <c r="C44" s="584"/>
      <c r="D44" s="584"/>
      <c r="E44" s="584"/>
      <c r="F44" s="584"/>
      <c r="G44" s="584"/>
      <c r="H44" s="1188">
        <v>4</v>
      </c>
    </row>
    <row r="45" spans="1:8">
      <c r="A45" s="98"/>
      <c r="B45" s="1205">
        <v>1</v>
      </c>
      <c r="C45" s="1205">
        <v>2</v>
      </c>
      <c r="D45" s="1205">
        <v>1</v>
      </c>
      <c r="E45" s="1205">
        <v>2</v>
      </c>
      <c r="F45" s="1205">
        <v>1</v>
      </c>
      <c r="G45" s="1205">
        <v>2</v>
      </c>
      <c r="H45" s="1188" t="s">
        <v>1307</v>
      </c>
    </row>
    <row r="46" spans="1:8">
      <c r="A46" s="337" t="s">
        <v>338</v>
      </c>
      <c r="B46" s="273"/>
      <c r="C46" s="273"/>
      <c r="D46" s="273"/>
      <c r="E46" s="273"/>
      <c r="F46" s="273"/>
      <c r="G46" s="273"/>
      <c r="H46" s="44"/>
    </row>
    <row r="48" spans="1:8" ht="13.5" thickBot="1">
      <c r="A48" s="2369" t="s">
        <v>1511</v>
      </c>
      <c r="B48" s="2369"/>
      <c r="C48" s="2369"/>
      <c r="D48" s="2369"/>
      <c r="E48" s="2369"/>
      <c r="F48" s="125"/>
      <c r="G48" s="125"/>
      <c r="H48" s="414"/>
    </row>
    <row r="49" spans="1:8">
      <c r="A49" s="390"/>
      <c r="B49" s="1205">
        <v>1</v>
      </c>
      <c r="C49" s="1205">
        <v>1</v>
      </c>
      <c r="D49" s="1205">
        <v>2</v>
      </c>
      <c r="E49" s="1205">
        <v>2</v>
      </c>
      <c r="F49" s="1205" t="s">
        <v>1512</v>
      </c>
      <c r="G49" s="55"/>
      <c r="H49" s="414"/>
    </row>
    <row r="50" spans="1:8" ht="27.75" customHeight="1">
      <c r="A50" s="2437" t="s">
        <v>2355</v>
      </c>
      <c r="B50" s="2440" t="s">
        <v>1513</v>
      </c>
      <c r="C50" s="2439"/>
      <c r="D50" s="2442" t="s">
        <v>210</v>
      </c>
      <c r="E50" s="2439"/>
      <c r="F50" s="1204" t="s">
        <v>1514</v>
      </c>
      <c r="G50" s="136"/>
      <c r="H50" s="414"/>
    </row>
    <row r="51" spans="1:8">
      <c r="A51" s="2438"/>
      <c r="B51" s="393" t="s">
        <v>707</v>
      </c>
      <c r="C51" s="119" t="s">
        <v>708</v>
      </c>
      <c r="D51" s="119" t="s">
        <v>707</v>
      </c>
      <c r="E51" s="119" t="s">
        <v>708</v>
      </c>
      <c r="F51" s="1188"/>
      <c r="G51" s="136"/>
      <c r="H51" s="414"/>
    </row>
    <row r="52" spans="1:8">
      <c r="A52" s="742" t="s">
        <v>1405</v>
      </c>
      <c r="B52" s="584">
        <v>0</v>
      </c>
      <c r="C52" s="584">
        <v>1</v>
      </c>
      <c r="D52" s="584">
        <v>0</v>
      </c>
      <c r="E52" s="584">
        <v>1</v>
      </c>
      <c r="F52" s="1188">
        <v>1</v>
      </c>
      <c r="G52" s="136"/>
      <c r="H52" s="414"/>
    </row>
    <row r="53" spans="1:8">
      <c r="A53" s="884" t="s">
        <v>1515</v>
      </c>
      <c r="B53" s="584">
        <v>0</v>
      </c>
      <c r="C53" s="584">
        <v>1</v>
      </c>
      <c r="D53" s="584">
        <v>0</v>
      </c>
      <c r="E53" s="584">
        <v>0</v>
      </c>
      <c r="F53" s="1188">
        <v>2</v>
      </c>
      <c r="G53" s="92"/>
      <c r="H53" s="420"/>
    </row>
    <row r="54" spans="1:8">
      <c r="A54" s="98"/>
      <c r="B54" s="1205">
        <v>1</v>
      </c>
      <c r="C54" s="1205">
        <v>2</v>
      </c>
      <c r="D54" s="1206">
        <v>1</v>
      </c>
      <c r="E54" s="1205">
        <v>2</v>
      </c>
      <c r="F54" s="1205" t="s">
        <v>1307</v>
      </c>
      <c r="G54" s="136"/>
      <c r="H54" s="414"/>
    </row>
    <row r="55" spans="1:8" ht="28.5" customHeight="1">
      <c r="A55" s="2434" t="s">
        <v>1022</v>
      </c>
      <c r="B55" s="2434"/>
      <c r="C55" s="2434"/>
      <c r="D55" s="2434"/>
      <c r="E55" s="2434"/>
    </row>
    <row r="56" spans="1:8" ht="13.5" thickBot="1"/>
    <row r="57" spans="1:8" ht="13.5" customHeight="1" thickBot="1">
      <c r="A57" s="2441" t="s">
        <v>1172</v>
      </c>
      <c r="B57" s="2441"/>
      <c r="C57" s="2441"/>
      <c r="D57" s="2441"/>
      <c r="E57" s="392"/>
    </row>
    <row r="59" spans="1:8">
      <c r="A59" s="2431" t="s">
        <v>230</v>
      </c>
      <c r="B59" s="2432"/>
      <c r="C59" s="2432"/>
      <c r="D59" s="2432"/>
      <c r="E59" s="392"/>
    </row>
    <row r="60" spans="1:8" ht="14.25" customHeight="1">
      <c r="A60" s="98"/>
      <c r="B60" s="1206">
        <v>1</v>
      </c>
      <c r="C60" s="1206">
        <v>2</v>
      </c>
      <c r="D60" s="1206">
        <v>0</v>
      </c>
      <c r="E60" s="1205" t="s">
        <v>1307</v>
      </c>
    </row>
    <row r="61" spans="1:8">
      <c r="A61" s="391" t="s">
        <v>2355</v>
      </c>
      <c r="B61" s="342" t="s">
        <v>707</v>
      </c>
      <c r="C61" s="342" t="s">
        <v>708</v>
      </c>
      <c r="D61" s="393" t="s">
        <v>768</v>
      </c>
      <c r="E61" s="1204" t="s">
        <v>937</v>
      </c>
    </row>
    <row r="62" spans="1:8">
      <c r="A62" s="124" t="s">
        <v>938</v>
      </c>
      <c r="B62" s="632"/>
      <c r="C62" s="632"/>
      <c r="D62" s="480">
        <f>SUM(B62:C62)</f>
        <v>0</v>
      </c>
      <c r="E62" s="1188">
        <v>1</v>
      </c>
    </row>
    <row r="63" spans="1:8">
      <c r="A63" s="124" t="s">
        <v>939</v>
      </c>
      <c r="B63" s="584"/>
      <c r="C63" s="584"/>
      <c r="D63" s="480">
        <f>SUM(B63:C63)</f>
        <v>0</v>
      </c>
      <c r="E63" s="1188">
        <v>2</v>
      </c>
    </row>
    <row r="64" spans="1:8">
      <c r="A64" s="124" t="s">
        <v>940</v>
      </c>
      <c r="B64" s="584"/>
      <c r="C64" s="584"/>
      <c r="D64" s="480">
        <f>SUM(B64:C64)</f>
        <v>0</v>
      </c>
      <c r="E64" s="1188">
        <v>3</v>
      </c>
    </row>
    <row r="65" spans="1:5">
      <c r="A65" s="124" t="s">
        <v>941</v>
      </c>
      <c r="B65" s="584"/>
      <c r="C65" s="584"/>
      <c r="D65" s="480">
        <f>SUM(B65:C65)</f>
        <v>0</v>
      </c>
      <c r="E65" s="1188">
        <v>4</v>
      </c>
    </row>
  </sheetData>
  <sheetProtection algorithmName="SHA-512" hashValue="pf3OLYudT6gZj3kjo56tO3pW9GQKWHaicRgCkmPcBgkwL6R7qEakXDh4R2s9mZRdzcLDcPYhMCSsFwZmpkrUzQ==" saltValue="ESS6tUmXGrlk1rf7YTx9Mg==" spinCount="100000" sheet="1" objects="1" scenarios="1"/>
  <mergeCells count="16">
    <mergeCell ref="B1:C1"/>
    <mergeCell ref="A3:D3"/>
    <mergeCell ref="A5:D5"/>
    <mergeCell ref="A7:D7"/>
    <mergeCell ref="A59:D59"/>
    <mergeCell ref="A36:G36"/>
    <mergeCell ref="A55:E55"/>
    <mergeCell ref="A38:A39"/>
    <mergeCell ref="A50:A51"/>
    <mergeCell ref="B38:C38"/>
    <mergeCell ref="D38:E38"/>
    <mergeCell ref="F38:G38"/>
    <mergeCell ref="A48:E48"/>
    <mergeCell ref="B50:C50"/>
    <mergeCell ref="A57:D57"/>
    <mergeCell ref="D50:E50"/>
  </mergeCells>
  <dataValidations disablePrompts="1" xWindow="34729" yWindow="8913" count="1">
    <dataValidation type="whole" allowBlank="1" showInputMessage="1" showErrorMessage="1" errorTitle="Erreur de saisie" error="Vous devez saisir une valeur entière" sqref="B62:C65 B52:E53 B41:G44 B31:C32 B26:C28 B18:C21 B10:C15">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67" firstPageNumber="0" orientation="portrait" r:id="rId1"/>
  <headerFooter alignWithMargins="0">
    <oddFooter>&amp;LRSU 2020 - Présentation au CTP&amp;R&amp;P/&amp;N
&amp;A</oddFooter>
  </headerFooter>
  <rowBreaks count="1" manualBreakCount="1">
    <brk id="34" max="16383" man="1"/>
  </rowBreaks>
</worksheet>
</file>

<file path=xl/worksheets/sheet33.xml><?xml version="1.0" encoding="utf-8"?>
<worksheet xmlns="http://schemas.openxmlformats.org/spreadsheetml/2006/main" xmlns:r="http://schemas.openxmlformats.org/officeDocument/2006/relationships">
  <sheetPr codeName="Feuil25">
    <pageSetUpPr fitToPage="1"/>
  </sheetPr>
  <dimension ref="A1:IV105"/>
  <sheetViews>
    <sheetView showGridLines="0" zoomScaleNormal="85" workbookViewId="0"/>
  </sheetViews>
  <sheetFormatPr baseColWidth="10" defaultColWidth="10.85546875" defaultRowHeight="12.75" customHeight="1"/>
  <cols>
    <col min="1" max="1" width="11" customWidth="1"/>
  </cols>
  <sheetData>
    <row r="1" spans="1:256" ht="17.100000000000001" customHeight="1">
      <c r="A1" s="1"/>
      <c r="B1" s="1"/>
      <c r="C1" s="1"/>
      <c r="D1" s="2245" t="s">
        <v>958</v>
      </c>
      <c r="E1" s="2245"/>
      <c r="F1" s="1"/>
      <c r="G1" s="1"/>
      <c r="H1" s="1"/>
      <c r="I1" s="1"/>
      <c r="J1" s="1"/>
      <c r="K1" s="1"/>
      <c r="L1" s="1"/>
      <c r="M1" s="1"/>
      <c r="N1" s="1"/>
      <c r="O1" s="1"/>
      <c r="P1" s="1"/>
    </row>
    <row r="2" spans="1:256" ht="12.75" customHeight="1" thickBot="1"/>
    <row r="3" spans="1:256" s="1093" customFormat="1" ht="14.25" thickTop="1" thickBot="1">
      <c r="A3" s="2450" t="s">
        <v>2486</v>
      </c>
      <c r="B3" s="2450"/>
      <c r="C3" s="2450"/>
      <c r="D3" s="2450"/>
      <c r="E3" s="2450"/>
      <c r="F3" s="2450"/>
      <c r="G3" s="2450"/>
      <c r="H3" s="2450"/>
      <c r="I3" s="2451"/>
      <c r="J3" s="2451"/>
      <c r="K3" s="2451"/>
      <c r="L3" s="2451"/>
      <c r="M3" s="2451"/>
      <c r="N3" s="2451"/>
      <c r="O3" s="2451"/>
      <c r="P3" s="2451"/>
      <c r="Q3" s="2451"/>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3.5" thickTop="1"/>
    <row r="5" spans="1:256" s="1093" customFormat="1" ht="12.75" customHeight="1">
      <c r="A5" s="2448" t="s">
        <v>1042</v>
      </c>
      <c r="B5" s="2448"/>
      <c r="C5" s="2448"/>
      <c r="D5" s="2448"/>
      <c r="E5" s="2448"/>
      <c r="F5" s="2448"/>
      <c r="G5" s="2448"/>
      <c r="H5" s="2448"/>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1098" customFormat="1" ht="12.75" customHeight="1">
      <c r="A6" s="2449" t="s">
        <v>2172</v>
      </c>
      <c r="B6" s="2449"/>
      <c r="C6" s="2449"/>
      <c r="D6" s="2449"/>
      <c r="E6" s="2449"/>
      <c r="F6" s="2449"/>
      <c r="G6" s="2449"/>
      <c r="H6" s="2449"/>
      <c r="I6" s="1097"/>
      <c r="J6" s="1097"/>
      <c r="K6" s="1097"/>
      <c r="L6" s="1097"/>
      <c r="M6" s="1097"/>
      <c r="N6" s="1097"/>
      <c r="O6" s="1097"/>
      <c r="P6" s="1097"/>
      <c r="Q6" s="1097"/>
      <c r="R6" s="1097"/>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c r="A7" s="1115"/>
      <c r="B7" s="1115"/>
      <c r="C7" s="1115"/>
      <c r="D7" s="1115"/>
      <c r="E7" s="1115"/>
      <c r="F7" s="1115"/>
      <c r="G7" s="1115"/>
      <c r="H7" s="1115"/>
    </row>
    <row r="8" spans="1:256">
      <c r="A8" s="1115"/>
      <c r="B8" s="1115"/>
      <c r="C8" s="1115"/>
      <c r="D8" s="1115"/>
      <c r="E8" s="1115"/>
      <c r="F8" s="1115"/>
      <c r="G8" s="1115"/>
      <c r="H8" s="1115"/>
    </row>
    <row r="9" spans="1:256" s="1093" customFormat="1" ht="12.75" customHeight="1">
      <c r="A9" s="2449" t="s">
        <v>959</v>
      </c>
      <c r="B9" s="2449"/>
      <c r="C9" s="2449"/>
      <c r="D9" s="2449"/>
      <c r="E9" s="2449"/>
      <c r="F9" s="2449"/>
      <c r="G9" s="2449"/>
      <c r="H9" s="244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c r="A10" s="1115"/>
      <c r="B10" s="1115"/>
      <c r="C10" s="1115"/>
      <c r="D10" s="1115"/>
      <c r="E10" s="1115"/>
      <c r="F10" s="1115"/>
      <c r="G10" s="1115"/>
      <c r="H10" s="1115"/>
    </row>
    <row r="11" spans="1:256" s="1093" customFormat="1" ht="12.75" customHeight="1">
      <c r="A11" s="2454" t="s">
        <v>2173</v>
      </c>
      <c r="B11" s="2454"/>
      <c r="C11" s="2454"/>
      <c r="D11" s="2454"/>
      <c r="E11" s="2454"/>
      <c r="F11" s="2454"/>
      <c r="G11" s="2454"/>
      <c r="H11" s="2454"/>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2.75" customHeight="1">
      <c r="A12" s="1115"/>
      <c r="B12" s="1115"/>
      <c r="C12" s="1115"/>
      <c r="D12" s="1115"/>
      <c r="E12" s="1115"/>
      <c r="F12" s="1115"/>
      <c r="G12" s="1115"/>
      <c r="H12" s="1115"/>
    </row>
    <row r="13" spans="1:256" s="1098" customFormat="1" ht="12.75" customHeight="1">
      <c r="A13" s="2454" t="s">
        <v>2174</v>
      </c>
      <c r="B13" s="2454"/>
      <c r="C13" s="2454"/>
      <c r="D13" s="2454"/>
      <c r="E13" s="2454"/>
      <c r="F13" s="2454"/>
      <c r="G13" s="2454"/>
      <c r="H13" s="2454"/>
      <c r="I13" s="1097"/>
      <c r="J13" s="1097"/>
      <c r="K13" s="1097"/>
      <c r="L13" s="1097"/>
      <c r="M13" s="1097"/>
      <c r="N13" s="1097"/>
      <c r="O13" s="1097"/>
      <c r="P13" s="1097"/>
      <c r="Q13" s="1097"/>
      <c r="R13" s="1097"/>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c r="A14" s="1115"/>
      <c r="B14" s="1115"/>
      <c r="C14" s="1115"/>
      <c r="D14" s="1115"/>
      <c r="E14" s="1115"/>
      <c r="F14" s="1115"/>
      <c r="G14" s="1115"/>
      <c r="H14" s="1115"/>
    </row>
    <row r="15" spans="1:256" s="1093" customFormat="1" ht="12.75" customHeight="1">
      <c r="A15" s="2454" t="s">
        <v>2487</v>
      </c>
      <c r="B15" s="2454"/>
      <c r="C15" s="2454"/>
      <c r="D15" s="2454"/>
      <c r="E15" s="2454"/>
      <c r="F15" s="2454"/>
      <c r="G15" s="2454"/>
      <c r="H15" s="2454"/>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2.95" customHeight="1">
      <c r="A16" s="1115"/>
      <c r="B16" s="1115"/>
      <c r="C16" s="1115"/>
      <c r="D16" s="1115"/>
      <c r="E16" s="1115"/>
      <c r="F16" s="1115"/>
      <c r="G16" s="1115"/>
      <c r="H16" s="1115"/>
    </row>
    <row r="17" spans="1:256" s="1093" customFormat="1" ht="12.75" customHeight="1">
      <c r="A17" s="2454" t="s">
        <v>2175</v>
      </c>
      <c r="B17" s="2454"/>
      <c r="C17" s="2454"/>
      <c r="D17" s="2454"/>
      <c r="E17" s="2454"/>
      <c r="F17" s="2454"/>
      <c r="G17" s="2454"/>
      <c r="H17" s="2454"/>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2.75" customHeight="1">
      <c r="A18" s="1115"/>
      <c r="B18" s="1115"/>
      <c r="C18" s="1115"/>
      <c r="D18" s="1115"/>
      <c r="E18" s="1115"/>
      <c r="F18" s="1115"/>
      <c r="G18" s="1115"/>
      <c r="H18" s="1115"/>
    </row>
    <row r="19" spans="1:256" s="1106" customFormat="1" ht="16.5" customHeight="1">
      <c r="A19" s="2455" t="s">
        <v>2176</v>
      </c>
      <c r="B19" s="2455"/>
      <c r="C19" s="2455"/>
      <c r="D19" s="2455"/>
      <c r="E19" s="2455"/>
      <c r="F19" s="2455"/>
      <c r="G19" s="2455"/>
      <c r="H19" s="2455"/>
      <c r="I19" s="2447"/>
      <c r="J19" s="2447"/>
      <c r="K19" s="2447"/>
      <c r="L19" s="2447"/>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2.75" customHeight="1">
      <c r="A20" s="1115"/>
      <c r="B20" s="1115"/>
      <c r="C20" s="1115"/>
      <c r="D20" s="1115"/>
      <c r="E20" s="1115"/>
      <c r="F20" s="1115"/>
      <c r="G20" s="1115"/>
      <c r="H20" s="1115"/>
    </row>
    <row r="21" spans="1:256" s="1093" customFormat="1" ht="12.75" customHeight="1">
      <c r="A21" s="2456" t="s">
        <v>960</v>
      </c>
      <c r="B21" s="2456"/>
      <c r="C21" s="2456"/>
      <c r="D21" s="2456"/>
      <c r="E21" s="2456"/>
      <c r="F21" s="2456"/>
      <c r="G21" s="2456"/>
      <c r="H21" s="2456"/>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2.75" customHeight="1">
      <c r="A22" s="1115"/>
      <c r="B22" s="1115"/>
      <c r="C22" s="1115"/>
      <c r="D22" s="1115"/>
      <c r="E22" s="1115"/>
      <c r="F22" s="1115"/>
      <c r="G22" s="1115"/>
      <c r="H22" s="1115"/>
    </row>
    <row r="23" spans="1:256" s="1098" customFormat="1" ht="12.75" customHeight="1">
      <c r="A23" s="2454" t="s">
        <v>2177</v>
      </c>
      <c r="B23" s="2454"/>
      <c r="C23" s="2454"/>
      <c r="D23" s="2454"/>
      <c r="E23" s="2454"/>
      <c r="F23" s="2454"/>
      <c r="G23" s="2454"/>
      <c r="H23" s="2454"/>
      <c r="I23" s="1097"/>
      <c r="J23" s="1097"/>
      <c r="K23" s="1097"/>
      <c r="L23" s="1097"/>
      <c r="M23" s="1097"/>
      <c r="N23" s="1097"/>
      <c r="O23" s="1097"/>
      <c r="P23" s="1097"/>
      <c r="Q23" s="1097"/>
      <c r="R23" s="1097"/>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s="1097" customFormat="1" ht="15" customHeight="1">
      <c r="A24" s="2458" t="s">
        <v>1890</v>
      </c>
      <c r="B24" s="2459"/>
      <c r="C24" s="2459"/>
      <c r="D24" s="2459"/>
      <c r="E24" s="2459"/>
      <c r="F24" s="2459"/>
      <c r="G24" s="2459"/>
      <c r="H24" s="2459"/>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s="1097" customFormat="1" ht="12.75" customHeight="1">
      <c r="A25" s="2458" t="s">
        <v>1891</v>
      </c>
      <c r="B25" s="2459"/>
      <c r="C25" s="2459"/>
      <c r="D25" s="2459"/>
      <c r="E25" s="2459"/>
      <c r="F25" s="2459"/>
      <c r="G25" s="2459"/>
      <c r="H25" s="2459"/>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4.1" customHeight="1">
      <c r="A26" s="1115"/>
      <c r="B26" s="1115"/>
      <c r="C26" s="1115"/>
      <c r="D26" s="1115"/>
      <c r="E26" s="1115"/>
      <c r="F26" s="1115"/>
      <c r="G26" s="1115"/>
      <c r="H26" s="1115"/>
    </row>
    <row r="27" spans="1:256" s="1098" customFormat="1" ht="12.75" customHeight="1">
      <c r="A27" s="2454" t="s">
        <v>1892</v>
      </c>
      <c r="B27" s="2454"/>
      <c r="C27" s="2454"/>
      <c r="D27" s="2454"/>
      <c r="E27" s="2454"/>
      <c r="F27" s="2454"/>
      <c r="G27" s="2454"/>
      <c r="H27" s="2454"/>
      <c r="I27" s="1097"/>
      <c r="J27" s="1097"/>
      <c r="K27" s="1097"/>
      <c r="L27" s="1097"/>
      <c r="M27" s="1097"/>
      <c r="N27" s="1097"/>
      <c r="O27" s="1097"/>
      <c r="P27" s="1097"/>
      <c r="Q27" s="1097"/>
      <c r="R27" s="109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s="1098" customFormat="1" ht="12.75" customHeight="1">
      <c r="A28" s="2446" t="s">
        <v>1893</v>
      </c>
      <c r="B28" s="2446"/>
      <c r="C28" s="2446"/>
      <c r="D28" s="2446"/>
      <c r="E28" s="2446"/>
      <c r="F28" s="2446"/>
      <c r="G28" s="2446"/>
      <c r="H28" s="2446"/>
      <c r="I28" s="1097"/>
      <c r="J28" s="1097"/>
      <c r="K28" s="1097"/>
      <c r="L28" s="1097"/>
      <c r="M28" s="1097"/>
      <c r="N28" s="1097"/>
      <c r="O28" s="1097"/>
      <c r="P28" s="1097"/>
      <c r="Q28" s="1097"/>
      <c r="R28" s="1097"/>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s="1098" customFormat="1">
      <c r="A29" s="2444" t="s">
        <v>1894</v>
      </c>
      <c r="B29" s="2445"/>
      <c r="C29" s="2445"/>
      <c r="D29" s="2445"/>
      <c r="E29" s="2445"/>
      <c r="F29" s="2445"/>
      <c r="G29" s="2445"/>
      <c r="H29" s="2445"/>
      <c r="I29" s="2447"/>
      <c r="J29" s="2447"/>
      <c r="K29" s="2447"/>
      <c r="L29" s="2447"/>
      <c r="M29" s="1097"/>
      <c r="N29" s="1097"/>
      <c r="O29" s="1097"/>
      <c r="P29" s="1097"/>
      <c r="Q29" s="1097"/>
      <c r="R29" s="1097"/>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s="1107" customFormat="1" ht="27.75" customHeight="1">
      <c r="A30" s="2444" t="s">
        <v>119</v>
      </c>
      <c r="B30" s="2445"/>
      <c r="C30" s="2445"/>
      <c r="D30" s="2445"/>
      <c r="E30" s="2445"/>
      <c r="F30" s="2445"/>
      <c r="G30" s="2445"/>
      <c r="H30" s="2445"/>
      <c r="I30" s="2452"/>
      <c r="J30" s="2452"/>
      <c r="K30" s="2452"/>
      <c r="L30" s="2452"/>
      <c r="M30" s="2453"/>
      <c r="N30" s="2453"/>
      <c r="O30" s="2453"/>
      <c r="P30" s="2453"/>
      <c r="Q30" s="2453"/>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s="1102" customFormat="1">
      <c r="A31" s="2444" t="s">
        <v>120</v>
      </c>
      <c r="B31" s="2445"/>
      <c r="C31" s="2445"/>
      <c r="D31" s="2445"/>
      <c r="E31" s="2445"/>
      <c r="F31" s="2445"/>
      <c r="G31" s="2445"/>
      <c r="H31" s="2445"/>
      <c r="I31" s="2453"/>
      <c r="J31" s="2453"/>
      <c r="K31" s="2453"/>
      <c r="L31" s="2453"/>
      <c r="M31" s="2453"/>
      <c r="N31" s="2453"/>
      <c r="O31" s="2453"/>
      <c r="P31" s="2453"/>
      <c r="Q31" s="2453"/>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s="1098" customFormat="1" ht="12.75" customHeight="1">
      <c r="A32" s="2444" t="s">
        <v>121</v>
      </c>
      <c r="B32" s="2445"/>
      <c r="C32" s="2445"/>
      <c r="D32" s="2445"/>
      <c r="E32" s="2445"/>
      <c r="F32" s="2445"/>
      <c r="G32" s="2445"/>
      <c r="H32" s="2445"/>
      <c r="I32" s="1097"/>
      <c r="J32" s="1097"/>
      <c r="K32" s="1097"/>
      <c r="L32" s="1097"/>
      <c r="M32" s="1097"/>
      <c r="N32" s="1097"/>
      <c r="O32" s="1097"/>
      <c r="P32" s="1097"/>
      <c r="Q32" s="1097"/>
      <c r="R32" s="1097"/>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s="1098" customFormat="1" ht="12.75" customHeight="1">
      <c r="A33" s="2444" t="s">
        <v>122</v>
      </c>
      <c r="B33" s="2445"/>
      <c r="C33" s="2445"/>
      <c r="D33" s="2445"/>
      <c r="E33" s="2445"/>
      <c r="F33" s="2445"/>
      <c r="G33" s="2445"/>
      <c r="H33" s="2445"/>
      <c r="I33" s="1097"/>
      <c r="J33" s="1097"/>
      <c r="K33" s="1097"/>
      <c r="L33" s="1097"/>
      <c r="M33" s="1097"/>
      <c r="N33" s="1097"/>
      <c r="O33" s="1097"/>
      <c r="P33" s="1097"/>
      <c r="Q33" s="1097"/>
      <c r="R33" s="1097"/>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s="1098" customFormat="1" ht="12.75" customHeight="1">
      <c r="A34" s="2444" t="s">
        <v>123</v>
      </c>
      <c r="B34" s="2445"/>
      <c r="C34" s="2445"/>
      <c r="D34" s="2445"/>
      <c r="E34" s="2445"/>
      <c r="F34" s="2445"/>
      <c r="G34" s="2445"/>
      <c r="H34" s="2445"/>
      <c r="I34" s="1097"/>
      <c r="J34" s="1097"/>
      <c r="K34" s="1097"/>
      <c r="L34" s="1097"/>
      <c r="M34" s="1097"/>
      <c r="N34" s="1097"/>
      <c r="O34" s="1097"/>
      <c r="P34" s="1097"/>
      <c r="Q34" s="1097"/>
      <c r="R34" s="1097"/>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s="1098" customFormat="1" ht="12.75" customHeight="1">
      <c r="A35" s="2444" t="s">
        <v>124</v>
      </c>
      <c r="B35" s="2445"/>
      <c r="C35" s="2445"/>
      <c r="D35" s="2445"/>
      <c r="E35" s="2445"/>
      <c r="F35" s="2445"/>
      <c r="G35" s="2445"/>
      <c r="H35" s="2445"/>
      <c r="I35" s="1097"/>
      <c r="J35" s="1097"/>
      <c r="K35" s="1097"/>
      <c r="L35" s="1097"/>
      <c r="M35" s="1097"/>
      <c r="N35" s="1097"/>
      <c r="O35" s="1097"/>
      <c r="P35" s="1097"/>
      <c r="Q35" s="1097"/>
      <c r="R35" s="1097"/>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s="1098" customFormat="1" ht="12.75" customHeight="1">
      <c r="A36" s="2444" t="s">
        <v>125</v>
      </c>
      <c r="B36" s="2445"/>
      <c r="C36" s="2445"/>
      <c r="D36" s="2445"/>
      <c r="E36" s="2445"/>
      <c r="F36" s="2445"/>
      <c r="G36" s="2445"/>
      <c r="H36" s="2445"/>
      <c r="I36" s="1097"/>
      <c r="J36" s="1097"/>
      <c r="K36" s="1097"/>
      <c r="L36" s="1097"/>
      <c r="M36" s="1097"/>
      <c r="N36" s="1097"/>
      <c r="O36" s="1097"/>
      <c r="P36" s="1097"/>
      <c r="Q36" s="1097"/>
      <c r="R36" s="1097"/>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s="1098" customFormat="1" ht="12.75" customHeight="1">
      <c r="A37" s="2444" t="s">
        <v>112</v>
      </c>
      <c r="B37" s="2445"/>
      <c r="C37" s="2445"/>
      <c r="D37" s="2445"/>
      <c r="E37" s="2445"/>
      <c r="F37" s="2445"/>
      <c r="G37" s="2445"/>
      <c r="H37" s="2445"/>
      <c r="I37" s="1097"/>
      <c r="J37" s="1097"/>
      <c r="K37" s="1097"/>
      <c r="L37" s="1097"/>
      <c r="M37" s="1097"/>
      <c r="N37" s="1097"/>
      <c r="O37" s="1097"/>
      <c r="P37" s="1097"/>
      <c r="Q37" s="1097"/>
      <c r="R37" s="109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2.75" customHeight="1">
      <c r="A38" s="1115"/>
      <c r="B38" s="1115"/>
      <c r="C38" s="1115"/>
      <c r="D38" s="1115"/>
      <c r="E38" s="1115"/>
      <c r="F38" s="1115"/>
      <c r="G38" s="1115"/>
      <c r="H38" s="1115"/>
    </row>
    <row r="39" spans="1:256" s="1106" customFormat="1" ht="12.75" customHeight="1">
      <c r="A39" s="2446" t="s">
        <v>126</v>
      </c>
      <c r="B39" s="2446"/>
      <c r="C39" s="2446"/>
      <c r="D39" s="2446"/>
      <c r="E39" s="2446"/>
      <c r="F39" s="2446"/>
      <c r="G39" s="2446"/>
      <c r="H39" s="2446"/>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s="1106" customFormat="1">
      <c r="A40" s="2444" t="s">
        <v>127</v>
      </c>
      <c r="B40" s="2445"/>
      <c r="C40" s="2445"/>
      <c r="D40" s="2445"/>
      <c r="E40" s="2445"/>
      <c r="F40" s="2445"/>
      <c r="G40" s="2445"/>
      <c r="H40" s="2445"/>
      <c r="I40" s="2447"/>
      <c r="J40" s="2447"/>
      <c r="K40" s="2447"/>
      <c r="L40" s="2447"/>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s="1093" customFormat="1">
      <c r="A41" s="2444" t="s">
        <v>1708</v>
      </c>
      <c r="B41" s="2457"/>
      <c r="C41" s="2457"/>
      <c r="D41" s="2457"/>
      <c r="E41" s="2457"/>
      <c r="F41" s="2457"/>
      <c r="G41" s="2457"/>
      <c r="H41" s="2457"/>
      <c r="I41" s="2457"/>
      <c r="J41" s="2457"/>
      <c r="K41" s="2457"/>
      <c r="L41" s="2457"/>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s="1093" customFormat="1" ht="24.75" customHeight="1">
      <c r="A42" s="2444" t="s">
        <v>1709</v>
      </c>
      <c r="B42" s="2447"/>
      <c r="C42" s="2447"/>
      <c r="D42" s="2447"/>
      <c r="E42" s="2447"/>
      <c r="F42" s="2447"/>
      <c r="G42" s="2447"/>
      <c r="H42" s="2447"/>
      <c r="I42" s="2447"/>
      <c r="J42" s="2447"/>
      <c r="K42" s="2447"/>
      <c r="L42" s="2447"/>
      <c r="M42" s="2447"/>
      <c r="N42" s="2447"/>
      <c r="O42" s="2447"/>
      <c r="P42" s="2447"/>
      <c r="Q42" s="2447"/>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s="1098" customFormat="1" ht="12.75" customHeight="1">
      <c r="A43" s="2444" t="s">
        <v>1710</v>
      </c>
      <c r="B43" s="2445"/>
      <c r="C43" s="2445"/>
      <c r="D43" s="2445"/>
      <c r="E43" s="2445"/>
      <c r="F43" s="2445"/>
      <c r="G43" s="2445"/>
      <c r="H43" s="2445"/>
      <c r="I43" s="1097"/>
      <c r="J43" s="1097"/>
      <c r="K43" s="1097"/>
      <c r="L43" s="1097"/>
      <c r="M43" s="1097"/>
      <c r="N43" s="1097"/>
      <c r="O43" s="1097"/>
      <c r="P43" s="1097"/>
      <c r="Q43" s="1097"/>
      <c r="R43" s="1097"/>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s="1098" customFormat="1">
      <c r="A44" s="2444" t="s">
        <v>1711</v>
      </c>
      <c r="B44" s="2445"/>
      <c r="C44" s="2445"/>
      <c r="D44" s="2445"/>
      <c r="E44" s="2445"/>
      <c r="F44" s="2445"/>
      <c r="G44" s="2445"/>
      <c r="H44" s="2445"/>
      <c r="I44" s="2447"/>
      <c r="J44" s="2447"/>
      <c r="K44" s="2447"/>
      <c r="L44" s="2447"/>
      <c r="M44" s="1097"/>
      <c r="N44" s="1097"/>
      <c r="O44" s="1097"/>
      <c r="P44" s="1097"/>
      <c r="Q44" s="1097"/>
      <c r="R44" s="1097"/>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s="1093" customFormat="1" ht="12.75" customHeight="1">
      <c r="A45" s="2444" t="s">
        <v>1712</v>
      </c>
      <c r="B45" s="2445"/>
      <c r="C45" s="2445"/>
      <c r="D45" s="2445"/>
      <c r="E45" s="2445"/>
      <c r="F45" s="2445"/>
      <c r="G45" s="2445"/>
      <c r="H45" s="2445"/>
      <c r="I45" s="1108"/>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s="1093" customFormat="1">
      <c r="A46" s="2444" t="s">
        <v>1713</v>
      </c>
      <c r="B46" s="2445"/>
      <c r="C46" s="2445"/>
      <c r="D46" s="2445"/>
      <c r="E46" s="2445"/>
      <c r="F46" s="2445"/>
      <c r="G46" s="2445"/>
      <c r="H46" s="2445"/>
      <c r="I46" s="2447"/>
      <c r="J46" s="2447"/>
      <c r="K46" s="2447"/>
      <c r="L46" s="2447"/>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12.75" customHeight="1">
      <c r="A47" s="1115"/>
      <c r="B47" s="1115"/>
      <c r="C47" s="1115"/>
      <c r="D47" s="1115"/>
      <c r="E47" s="1115"/>
      <c r="F47" s="1115"/>
      <c r="G47" s="1115"/>
      <c r="H47" s="1115"/>
    </row>
    <row r="48" spans="1:256" s="1093" customFormat="1" ht="12.75" customHeight="1">
      <c r="A48" s="2446" t="s">
        <v>1714</v>
      </c>
      <c r="B48" s="2446"/>
      <c r="C48" s="2446"/>
      <c r="D48" s="2446"/>
      <c r="E48" s="2446"/>
      <c r="F48" s="2446"/>
      <c r="G48" s="2446"/>
      <c r="H48" s="2446"/>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12" s="1093" customFormat="1" ht="12.75" customHeight="1">
      <c r="A49" s="2444" t="s">
        <v>1715</v>
      </c>
      <c r="B49" s="2445"/>
      <c r="C49" s="2445"/>
      <c r="D49" s="2445"/>
      <c r="E49" s="2445"/>
      <c r="F49" s="2445"/>
      <c r="G49" s="2445"/>
      <c r="H49" s="2445"/>
      <c r="I49" s="1108"/>
    </row>
    <row r="50" spans="1:12" s="1093" customFormat="1">
      <c r="A50" s="2444" t="s">
        <v>1716</v>
      </c>
      <c r="B50" s="2445"/>
      <c r="C50" s="2445"/>
      <c r="D50" s="2445"/>
      <c r="E50" s="2445"/>
      <c r="F50" s="2445"/>
      <c r="G50" s="2445"/>
      <c r="H50" s="2445"/>
      <c r="I50" s="2447"/>
      <c r="J50" s="2447"/>
      <c r="K50" s="2447"/>
      <c r="L50" s="2447"/>
    </row>
    <row r="51" spans="1:12" s="1093" customFormat="1" ht="12.75" customHeight="1">
      <c r="A51" s="2444" t="s">
        <v>2171</v>
      </c>
      <c r="B51" s="2445"/>
      <c r="C51" s="2445"/>
      <c r="D51" s="2445"/>
      <c r="E51" s="2445"/>
      <c r="F51" s="2445"/>
      <c r="G51" s="2445"/>
      <c r="H51" s="2445"/>
      <c r="I51"/>
      <c r="J51"/>
      <c r="K51"/>
    </row>
    <row r="52" spans="1:12">
      <c r="A52" s="1115"/>
      <c r="B52" s="1115"/>
      <c r="C52" s="1115"/>
      <c r="D52" s="1115"/>
      <c r="E52" s="1115"/>
      <c r="F52" s="1115"/>
      <c r="G52" s="1115"/>
      <c r="H52" s="1115"/>
    </row>
    <row r="53" spans="1:12" s="1093" customFormat="1">
      <c r="A53" s="2443" t="s">
        <v>1717</v>
      </c>
      <c r="B53" s="2443"/>
      <c r="C53" s="2443"/>
      <c r="D53" s="2443"/>
      <c r="E53" s="2443"/>
      <c r="F53" s="2443"/>
      <c r="G53" s="2443"/>
      <c r="H53" s="2443"/>
    </row>
    <row r="54" spans="1:12" s="1093" customFormat="1">
      <c r="A54" s="1116"/>
      <c r="B54" s="1116"/>
      <c r="C54" s="1116"/>
      <c r="D54" s="1116"/>
      <c r="E54" s="1116"/>
      <c r="F54" s="1116"/>
      <c r="G54" s="1116"/>
      <c r="H54" s="1116"/>
    </row>
    <row r="55" spans="1:12" s="1093" customFormat="1">
      <c r="A55" s="1109" t="s">
        <v>1133</v>
      </c>
    </row>
    <row r="56" spans="1:12" s="1093" customFormat="1"/>
    <row r="57" spans="1:12" s="1093" customFormat="1"/>
    <row r="58" spans="1:12" s="1093" customFormat="1"/>
    <row r="59" spans="1:12" s="1093" customFormat="1"/>
    <row r="60" spans="1:12" s="1093" customFormat="1"/>
    <row r="61" spans="1:12" s="1093" customFormat="1"/>
    <row r="62" spans="1:12" s="1093" customFormat="1"/>
    <row r="63" spans="1:12" s="1093" customFormat="1"/>
    <row r="64" spans="1:12" s="1093" customFormat="1"/>
    <row r="65" s="1093" customFormat="1"/>
    <row r="66" s="1093" customFormat="1"/>
    <row r="67" s="1093" customFormat="1"/>
    <row r="68" s="1093" customFormat="1"/>
    <row r="69" s="1093" customFormat="1"/>
    <row r="70" s="1093" customFormat="1"/>
    <row r="71" s="1093" customFormat="1"/>
    <row r="72" s="1093" customFormat="1"/>
    <row r="73" s="1093" customFormat="1"/>
    <row r="74" s="1093" customFormat="1"/>
    <row r="75" s="1093" customFormat="1"/>
    <row r="76" s="1093" customFormat="1"/>
    <row r="77" s="1093" customFormat="1"/>
    <row r="78" s="1093" customFormat="1"/>
    <row r="79" s="1093" customFormat="1"/>
    <row r="80" s="1093" customFormat="1"/>
    <row r="81" s="1093" customFormat="1"/>
    <row r="82" s="1093" customFormat="1"/>
    <row r="83" s="1093" customFormat="1"/>
    <row r="84" s="1093" customFormat="1"/>
    <row r="85" s="1093" customFormat="1"/>
    <row r="86" s="1093" customFormat="1"/>
    <row r="87" s="1093" customFormat="1"/>
    <row r="88" s="1093" customFormat="1"/>
    <row r="89" s="1093" customFormat="1"/>
    <row r="90" s="1093" customFormat="1"/>
    <row r="91" s="1093" customFormat="1"/>
    <row r="92" s="1093" customFormat="1"/>
    <row r="93" s="1093" customFormat="1"/>
    <row r="94" s="1093" customFormat="1"/>
    <row r="95" s="1093" customFormat="1"/>
    <row r="96" s="1093" customFormat="1"/>
    <row r="97" s="1093" customFormat="1"/>
    <row r="98" s="1093" customFormat="1"/>
    <row r="99" s="1093" customFormat="1"/>
    <row r="100" s="1093" customFormat="1"/>
    <row r="101" s="1093" customFormat="1"/>
    <row r="102" s="1093" customFormat="1"/>
    <row r="103" s="1093" customFormat="1"/>
    <row r="104" s="1093" customFormat="1"/>
    <row r="105" s="1093" customFormat="1"/>
  </sheetData>
  <sheetProtection algorithmName="SHA-512" hashValue="ZP9fGZ/w1VVVSfgS97vuHbnk905n7jp7kqa8TZiyrnC0YGcVo0uCWTq6bJpjSOZUDQBRIyumgMP6oJO3lF/Lyw==" saltValue="p24XFVyMSSrX0E3xTEzrYQ==" spinCount="100000" sheet="1" objects="1" scenarios="1"/>
  <mergeCells count="38">
    <mergeCell ref="A44:L44"/>
    <mergeCell ref="A9:H9"/>
    <mergeCell ref="A11:H11"/>
    <mergeCell ref="A23:H23"/>
    <mergeCell ref="A19:L19"/>
    <mergeCell ref="A13:H13"/>
    <mergeCell ref="A15:H15"/>
    <mergeCell ref="A17:H17"/>
    <mergeCell ref="A21:H21"/>
    <mergeCell ref="A40:L40"/>
    <mergeCell ref="A41:L41"/>
    <mergeCell ref="A32:H32"/>
    <mergeCell ref="A27:H27"/>
    <mergeCell ref="A24:H24"/>
    <mergeCell ref="A25:H25"/>
    <mergeCell ref="D1:E1"/>
    <mergeCell ref="A5:H5"/>
    <mergeCell ref="A6:H6"/>
    <mergeCell ref="A3:Q3"/>
    <mergeCell ref="A43:H43"/>
    <mergeCell ref="A36:H36"/>
    <mergeCell ref="A35:H35"/>
    <mergeCell ref="A37:H37"/>
    <mergeCell ref="A39:H39"/>
    <mergeCell ref="A42:Q42"/>
    <mergeCell ref="A34:H34"/>
    <mergeCell ref="A29:L29"/>
    <mergeCell ref="A30:Q30"/>
    <mergeCell ref="A28:H28"/>
    <mergeCell ref="A33:H33"/>
    <mergeCell ref="A31:Q31"/>
    <mergeCell ref="A53:H53"/>
    <mergeCell ref="A45:H45"/>
    <mergeCell ref="A48:H48"/>
    <mergeCell ref="A49:H49"/>
    <mergeCell ref="A51:H51"/>
    <mergeCell ref="A50:L50"/>
    <mergeCell ref="A46:L46"/>
  </mergeCell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48" firstPageNumber="0" orientation="portrait" r:id="rId1"/>
  <headerFooter alignWithMargins="0">
    <oddFooter>&amp;LRSU 2020 - Présentation au CTP&amp;R&amp;P/&amp;N
&amp;A</oddFooter>
  </headerFooter>
  <rowBreaks count="1" manualBreakCount="1">
    <brk id="54" max="16383" man="1"/>
  </rowBreaks>
  <drawing r:id="rId2"/>
</worksheet>
</file>

<file path=xl/worksheets/sheet34.xml><?xml version="1.0" encoding="utf-8"?>
<worksheet xmlns="http://schemas.openxmlformats.org/spreadsheetml/2006/main" xmlns:r="http://schemas.openxmlformats.org/officeDocument/2006/relationships">
  <sheetPr codeName="Feuil26">
    <pageSetUpPr fitToPage="1"/>
  </sheetPr>
  <dimension ref="A1:K66"/>
  <sheetViews>
    <sheetView showGridLines="0" zoomScaleNormal="90" workbookViewId="0">
      <selection activeCell="D12" sqref="D12"/>
    </sheetView>
  </sheetViews>
  <sheetFormatPr baseColWidth="10" defaultColWidth="10.85546875" defaultRowHeight="12.75" customHeight="1"/>
  <cols>
    <col min="1" max="1" width="15.42578125" customWidth="1"/>
    <col min="2" max="2" width="104.42578125" bestFit="1" customWidth="1"/>
  </cols>
  <sheetData>
    <row r="1" spans="1:11" ht="17.100000000000001" customHeight="1">
      <c r="C1" s="2245" t="s">
        <v>958</v>
      </c>
      <c r="D1" s="2245"/>
    </row>
    <row r="3" spans="1:11" ht="40.5" customHeight="1">
      <c r="A3" s="2442" t="s">
        <v>3002</v>
      </c>
      <c r="B3" s="2442"/>
      <c r="C3" s="2474" t="s">
        <v>2406</v>
      </c>
      <c r="D3" s="2474"/>
      <c r="E3" s="2474" t="s">
        <v>2407</v>
      </c>
      <c r="F3" s="2474"/>
      <c r="G3" s="2442" t="s">
        <v>2356</v>
      </c>
      <c r="H3" s="2442"/>
      <c r="I3" s="243"/>
      <c r="J3" s="243"/>
      <c r="K3" s="243"/>
    </row>
    <row r="4" spans="1:11">
      <c r="A4" s="2473">
        <f>G4+E4-C4</f>
        <v>5741</v>
      </c>
      <c r="B4" s="2473"/>
      <c r="C4" s="2473">
        <f>'IND 1.5.2'!S93-'IND 1.5.2'!H93-'IND 1.5.2'!R93-'IND 1.5.2'!C93-'IND 1.5.2'!F93 + 'IND 1.5.3'!F12+'IND 1.5.3'!F13+'IND 1.5.3'!F98</f>
        <v>347</v>
      </c>
      <c r="D4" s="2473"/>
      <c r="E4" s="2473">
        <f>F41+J41-F21-J21-F22-J22-F39-J39+F65+J65-F51-J51-F63-J63</f>
        <v>353</v>
      </c>
      <c r="F4" s="2473"/>
      <c r="G4" s="2473">
        <f>'IND 1.1.1'!I376+'IND 1.2.1'!K91</f>
        <v>5735</v>
      </c>
      <c r="H4" s="2473"/>
      <c r="I4" s="382"/>
      <c r="J4" s="320"/>
      <c r="K4" s="243"/>
    </row>
    <row r="6" spans="1:11" ht="13.5" thickBot="1"/>
    <row r="7" spans="1:11" ht="13.5" thickBot="1">
      <c r="A7" s="2463" t="s">
        <v>2488</v>
      </c>
      <c r="B7" s="2476"/>
      <c r="C7" s="2476"/>
      <c r="D7" s="2476"/>
      <c r="E7" s="2476"/>
      <c r="F7" s="2476"/>
      <c r="G7" s="2476"/>
      <c r="H7" s="2476"/>
      <c r="I7" s="2476"/>
      <c r="J7" s="2476"/>
      <c r="K7" s="1005"/>
    </row>
    <row r="9" spans="1:11">
      <c r="A9" s="288" t="s">
        <v>1667</v>
      </c>
      <c r="B9" s="243"/>
      <c r="C9" s="243"/>
      <c r="D9" s="243"/>
      <c r="E9" s="243"/>
      <c r="F9" s="243"/>
      <c r="G9" s="243"/>
      <c r="H9" s="243"/>
      <c r="I9" s="243"/>
      <c r="J9" s="243"/>
      <c r="K9" s="441"/>
    </row>
    <row r="10" spans="1:11">
      <c r="A10" s="1270" t="s">
        <v>2306</v>
      </c>
      <c r="B10" s="243"/>
      <c r="C10" s="243"/>
      <c r="D10" s="243"/>
      <c r="E10" s="243"/>
      <c r="F10" s="243"/>
      <c r="G10" s="243"/>
      <c r="H10" s="243"/>
      <c r="I10" s="243"/>
      <c r="J10" s="243"/>
      <c r="K10" s="243"/>
    </row>
    <row r="12" spans="1:11">
      <c r="A12" s="543" t="s">
        <v>1134</v>
      </c>
      <c r="K12" s="243"/>
    </row>
    <row r="13" spans="1:11">
      <c r="A13" s="2475" t="s">
        <v>2489</v>
      </c>
      <c r="B13" s="2475"/>
      <c r="C13" s="2475"/>
    </row>
    <row r="14" spans="1:11">
      <c r="A14" s="544" t="s">
        <v>2490</v>
      </c>
      <c r="B14" s="545"/>
      <c r="C14" s="545"/>
    </row>
    <row r="15" spans="1:11" ht="13.5" thickBot="1"/>
    <row r="16" spans="1:11" ht="13.5" thickBot="1">
      <c r="A16" s="2463" t="s">
        <v>2491</v>
      </c>
      <c r="B16" s="2476"/>
      <c r="C16" s="2476"/>
      <c r="D16" s="2476"/>
      <c r="E16" s="2476"/>
      <c r="F16" s="2476"/>
      <c r="G16" s="2476"/>
      <c r="H16" s="2476"/>
      <c r="I16" s="2476"/>
      <c r="J16" s="2476"/>
      <c r="K16" s="1005"/>
    </row>
    <row r="17" spans="1:11" ht="7.5" customHeight="1"/>
    <row r="18" spans="1:11" ht="12.75" customHeight="1">
      <c r="C18" s="1189">
        <v>1</v>
      </c>
      <c r="D18" s="1189">
        <v>1</v>
      </c>
      <c r="E18" s="1189">
        <v>1</v>
      </c>
      <c r="F18" s="1189">
        <v>1</v>
      </c>
      <c r="G18" s="1189">
        <v>2</v>
      </c>
      <c r="H18" s="1189">
        <v>2</v>
      </c>
      <c r="I18" s="1189">
        <v>2</v>
      </c>
      <c r="J18" s="1189">
        <v>2</v>
      </c>
      <c r="K18" s="1189" t="s">
        <v>1307</v>
      </c>
    </row>
    <row r="19" spans="1:11">
      <c r="B19" s="221" t="s">
        <v>154</v>
      </c>
      <c r="C19" s="2470" t="s">
        <v>707</v>
      </c>
      <c r="D19" s="2471"/>
      <c r="E19" s="2471"/>
      <c r="F19" s="2472"/>
      <c r="G19" s="2470" t="s">
        <v>708</v>
      </c>
      <c r="H19" s="2471"/>
      <c r="I19" s="2471"/>
      <c r="J19" s="2472"/>
    </row>
    <row r="20" spans="1:11" ht="13.5" thickBot="1">
      <c r="B20" s="180" t="s">
        <v>1135</v>
      </c>
      <c r="C20" s="856" t="s">
        <v>1732</v>
      </c>
      <c r="D20" s="856" t="s">
        <v>1733</v>
      </c>
      <c r="E20" s="856" t="s">
        <v>1734</v>
      </c>
      <c r="F20" s="856" t="s">
        <v>768</v>
      </c>
      <c r="G20" s="856" t="s">
        <v>1732</v>
      </c>
      <c r="H20" s="856" t="s">
        <v>1733</v>
      </c>
      <c r="I20" s="856" t="s">
        <v>1734</v>
      </c>
      <c r="J20" s="856" t="s">
        <v>768</v>
      </c>
      <c r="K20" s="1189" t="s">
        <v>1020</v>
      </c>
    </row>
    <row r="21" spans="1:11" ht="28.5" customHeight="1">
      <c r="A21" s="2465" t="s">
        <v>750</v>
      </c>
      <c r="B21" s="201" t="s">
        <v>1280</v>
      </c>
      <c r="C21" s="886">
        <v>0</v>
      </c>
      <c r="D21" s="948">
        <v>0</v>
      </c>
      <c r="E21" s="886">
        <v>0</v>
      </c>
      <c r="F21" s="952">
        <f t="shared" ref="F21:F28" si="0">SUM(C21:E21)</f>
        <v>0</v>
      </c>
      <c r="G21" s="886">
        <v>0</v>
      </c>
      <c r="H21" s="1767">
        <v>0</v>
      </c>
      <c r="I21" s="1767">
        <v>0</v>
      </c>
      <c r="J21" s="955">
        <f t="shared" ref="J21:J28" si="1">SUM(G21:I21)</f>
        <v>0</v>
      </c>
      <c r="K21" s="1190">
        <v>11</v>
      </c>
    </row>
    <row r="22" spans="1:11">
      <c r="A22" s="2466"/>
      <c r="B22" s="202" t="s">
        <v>1735</v>
      </c>
      <c r="C22" s="891"/>
      <c r="D22" s="949"/>
      <c r="E22" s="891"/>
      <c r="F22" s="953">
        <f t="shared" si="0"/>
        <v>0</v>
      </c>
      <c r="G22" s="891"/>
      <c r="H22" s="891"/>
      <c r="I22" s="891"/>
      <c r="J22" s="956">
        <f t="shared" si="1"/>
        <v>0</v>
      </c>
      <c r="K22" s="1190">
        <v>14</v>
      </c>
    </row>
    <row r="23" spans="1:11">
      <c r="A23" s="2466"/>
      <c r="B23" s="204" t="s">
        <v>1281</v>
      </c>
      <c r="C23" s="891">
        <v>0</v>
      </c>
      <c r="D23" s="949">
        <v>0</v>
      </c>
      <c r="E23" s="891">
        <v>0</v>
      </c>
      <c r="F23" s="953">
        <f t="shared" si="0"/>
        <v>0</v>
      </c>
      <c r="G23" s="891">
        <v>0</v>
      </c>
      <c r="H23" s="891">
        <v>0</v>
      </c>
      <c r="I23" s="891">
        <v>1</v>
      </c>
      <c r="J23" s="956">
        <f t="shared" si="1"/>
        <v>1</v>
      </c>
      <c r="K23" s="1190">
        <v>15</v>
      </c>
    </row>
    <row r="24" spans="1:11" ht="15.75" customHeight="1">
      <c r="A24" s="2466"/>
      <c r="B24" s="204" t="s">
        <v>1282</v>
      </c>
      <c r="C24" s="891"/>
      <c r="D24" s="949"/>
      <c r="E24" s="891"/>
      <c r="F24" s="953">
        <f t="shared" si="0"/>
        <v>0</v>
      </c>
      <c r="G24" s="891"/>
      <c r="H24" s="891"/>
      <c r="I24" s="891"/>
      <c r="J24" s="956">
        <f t="shared" si="1"/>
        <v>0</v>
      </c>
      <c r="K24" s="1190">
        <v>20</v>
      </c>
    </row>
    <row r="25" spans="1:11" ht="24" customHeight="1">
      <c r="A25" s="2466"/>
      <c r="B25" s="938" t="s">
        <v>1283</v>
      </c>
      <c r="C25" s="887">
        <v>0</v>
      </c>
      <c r="D25" s="940">
        <v>0</v>
      </c>
      <c r="E25" s="887">
        <v>2</v>
      </c>
      <c r="F25" s="941">
        <f t="shared" si="0"/>
        <v>2</v>
      </c>
      <c r="G25" s="887">
        <v>3</v>
      </c>
      <c r="H25" s="887">
        <v>0</v>
      </c>
      <c r="I25" s="887">
        <v>1</v>
      </c>
      <c r="J25" s="957">
        <f t="shared" si="1"/>
        <v>4</v>
      </c>
      <c r="K25" s="1190">
        <v>12</v>
      </c>
    </row>
    <row r="26" spans="1:11">
      <c r="A26" s="2467"/>
      <c r="B26" s="939" t="s">
        <v>160</v>
      </c>
      <c r="C26" s="893">
        <f>SUM(C27:C28)</f>
        <v>0</v>
      </c>
      <c r="D26" s="893">
        <f>SUM(D27:D28)</f>
        <v>1</v>
      </c>
      <c r="E26" s="893">
        <f>SUM(E27:E28)</f>
        <v>9</v>
      </c>
      <c r="F26" s="893">
        <f t="shared" si="0"/>
        <v>10</v>
      </c>
      <c r="G26" s="893">
        <f>SUM(G27:G28)</f>
        <v>0</v>
      </c>
      <c r="H26" s="893">
        <f>SUM(H27:H28)</f>
        <v>2</v>
      </c>
      <c r="I26" s="893">
        <f>SUM(I27:I28)</f>
        <v>14</v>
      </c>
      <c r="J26" s="896">
        <f t="shared" si="1"/>
        <v>16</v>
      </c>
      <c r="K26" s="1190">
        <v>13</v>
      </c>
    </row>
    <row r="27" spans="1:11">
      <c r="A27" s="2467"/>
      <c r="B27" s="942" t="s">
        <v>1032</v>
      </c>
      <c r="C27" s="1767">
        <v>0</v>
      </c>
      <c r="D27" s="1767">
        <v>0</v>
      </c>
      <c r="E27" s="1767">
        <v>0</v>
      </c>
      <c r="F27" s="1084">
        <f t="shared" si="0"/>
        <v>0</v>
      </c>
      <c r="G27" s="1769">
        <v>0</v>
      </c>
      <c r="H27" s="1769">
        <v>0</v>
      </c>
      <c r="I27" s="1769">
        <v>5</v>
      </c>
      <c r="J27" s="1082">
        <f t="shared" si="1"/>
        <v>5</v>
      </c>
      <c r="K27" s="1190">
        <v>25</v>
      </c>
    </row>
    <row r="28" spans="1:11">
      <c r="A28" s="2467"/>
      <c r="B28" s="943" t="s">
        <v>1522</v>
      </c>
      <c r="C28" s="1767">
        <v>0</v>
      </c>
      <c r="D28" s="1767">
        <v>1</v>
      </c>
      <c r="E28" s="1767">
        <v>9</v>
      </c>
      <c r="F28" s="1085">
        <f t="shared" si="0"/>
        <v>10</v>
      </c>
      <c r="G28" s="1769">
        <v>0</v>
      </c>
      <c r="H28" s="1769">
        <v>2</v>
      </c>
      <c r="I28" s="1769">
        <v>9</v>
      </c>
      <c r="J28" s="1083">
        <f t="shared" si="1"/>
        <v>11</v>
      </c>
      <c r="K28" s="1190">
        <v>26</v>
      </c>
    </row>
    <row r="29" spans="1:11" ht="13.5" thickBot="1">
      <c r="A29" s="2466"/>
      <c r="B29" s="205" t="s">
        <v>161</v>
      </c>
      <c r="C29" s="946">
        <v>0</v>
      </c>
      <c r="D29" s="950">
        <v>0</v>
      </c>
      <c r="E29" s="946">
        <v>0</v>
      </c>
      <c r="F29" s="1086">
        <f t="shared" ref="F29:F40" si="2">SUM(C29:E29)</f>
        <v>0</v>
      </c>
      <c r="G29" s="1768">
        <v>1</v>
      </c>
      <c r="H29" s="1768">
        <v>0</v>
      </c>
      <c r="I29" s="1768">
        <v>15</v>
      </c>
      <c r="J29" s="1081">
        <f t="shared" ref="J29:J40" si="3">SUM(G29:I29)</f>
        <v>16</v>
      </c>
      <c r="K29" s="1190">
        <v>21</v>
      </c>
    </row>
    <row r="30" spans="1:11" ht="15" customHeight="1">
      <c r="A30" s="2460" t="s">
        <v>162</v>
      </c>
      <c r="B30" s="206" t="s">
        <v>1284</v>
      </c>
      <c r="C30" s="1770">
        <v>4</v>
      </c>
      <c r="D30" s="1771">
        <v>1</v>
      </c>
      <c r="E30" s="1770">
        <v>20</v>
      </c>
      <c r="F30" s="952">
        <f t="shared" si="2"/>
        <v>25</v>
      </c>
      <c r="G30" s="1773">
        <v>7</v>
      </c>
      <c r="H30" s="1772">
        <v>2</v>
      </c>
      <c r="I30" s="1773">
        <v>9</v>
      </c>
      <c r="J30" s="955">
        <f t="shared" si="3"/>
        <v>18</v>
      </c>
      <c r="K30" s="1190">
        <v>16</v>
      </c>
    </row>
    <row r="31" spans="1:11" ht="24">
      <c r="A31" s="2468"/>
      <c r="B31" s="944" t="s">
        <v>2492</v>
      </c>
      <c r="C31" s="891">
        <v>0</v>
      </c>
      <c r="D31" s="949">
        <v>0</v>
      </c>
      <c r="E31" s="891">
        <v>1</v>
      </c>
      <c r="F31" s="953">
        <f t="shared" si="2"/>
        <v>1</v>
      </c>
      <c r="G31" s="891">
        <v>0</v>
      </c>
      <c r="H31" s="891">
        <v>0</v>
      </c>
      <c r="I31" s="891">
        <v>0</v>
      </c>
      <c r="J31" s="956">
        <f t="shared" si="3"/>
        <v>0</v>
      </c>
      <c r="K31" s="1190">
        <v>17</v>
      </c>
    </row>
    <row r="32" spans="1:11">
      <c r="A32" s="2468"/>
      <c r="B32" s="944" t="s">
        <v>1285</v>
      </c>
      <c r="C32" s="891"/>
      <c r="D32" s="949"/>
      <c r="E32" s="891"/>
      <c r="F32" s="953">
        <f t="shared" si="2"/>
        <v>0</v>
      </c>
      <c r="G32" s="891"/>
      <c r="H32" s="891"/>
      <c r="I32" s="891"/>
      <c r="J32" s="956">
        <f t="shared" si="3"/>
        <v>0</v>
      </c>
      <c r="K32" s="1190">
        <v>18</v>
      </c>
    </row>
    <row r="33" spans="1:11">
      <c r="A33" s="2468"/>
      <c r="B33" s="944" t="s">
        <v>974</v>
      </c>
      <c r="C33" s="891"/>
      <c r="D33" s="949"/>
      <c r="E33" s="891"/>
      <c r="F33" s="953">
        <f t="shared" si="2"/>
        <v>0</v>
      </c>
      <c r="G33" s="891"/>
      <c r="H33" s="891"/>
      <c r="I33" s="891"/>
      <c r="J33" s="956">
        <f t="shared" si="3"/>
        <v>0</v>
      </c>
      <c r="K33" s="1190">
        <v>22</v>
      </c>
    </row>
    <row r="34" spans="1:11">
      <c r="A34" s="2468"/>
      <c r="B34" s="207" t="s">
        <v>1736</v>
      </c>
      <c r="C34" s="1775">
        <v>0</v>
      </c>
      <c r="D34" s="1774">
        <v>0</v>
      </c>
      <c r="E34" s="1775">
        <v>3</v>
      </c>
      <c r="F34" s="953">
        <f t="shared" si="2"/>
        <v>3</v>
      </c>
      <c r="G34" s="1776">
        <v>0</v>
      </c>
      <c r="H34" s="1777">
        <v>2</v>
      </c>
      <c r="I34" s="1777">
        <v>2</v>
      </c>
      <c r="J34" s="956">
        <f t="shared" si="3"/>
        <v>4</v>
      </c>
      <c r="K34" s="1190">
        <v>19</v>
      </c>
    </row>
    <row r="35" spans="1:11">
      <c r="A35" s="2468"/>
      <c r="B35" s="207" t="s">
        <v>1737</v>
      </c>
      <c r="C35" s="891">
        <v>8</v>
      </c>
      <c r="D35" s="949">
        <v>8</v>
      </c>
      <c r="E35" s="891">
        <v>37</v>
      </c>
      <c r="F35" s="953">
        <f t="shared" si="2"/>
        <v>53</v>
      </c>
      <c r="G35" s="891">
        <v>15</v>
      </c>
      <c r="H35" s="891">
        <v>6</v>
      </c>
      <c r="I35" s="891">
        <v>67</v>
      </c>
      <c r="J35" s="956">
        <f t="shared" si="3"/>
        <v>88</v>
      </c>
      <c r="K35" s="1190" t="s">
        <v>1014</v>
      </c>
    </row>
    <row r="36" spans="1:11">
      <c r="A36" s="2468"/>
      <c r="B36" s="207" t="s">
        <v>1738</v>
      </c>
      <c r="C36" s="891">
        <v>0</v>
      </c>
      <c r="D36" s="949">
        <v>0</v>
      </c>
      <c r="E36" s="891">
        <v>0</v>
      </c>
      <c r="F36" s="953">
        <f t="shared" si="2"/>
        <v>0</v>
      </c>
      <c r="G36" s="891">
        <v>0</v>
      </c>
      <c r="H36" s="891">
        <v>0</v>
      </c>
      <c r="I36" s="891">
        <v>3</v>
      </c>
      <c r="J36" s="956">
        <f t="shared" si="3"/>
        <v>3</v>
      </c>
      <c r="K36" s="1190" t="s">
        <v>1015</v>
      </c>
    </row>
    <row r="37" spans="1:11">
      <c r="A37" s="2468"/>
      <c r="B37" s="207" t="s">
        <v>1739</v>
      </c>
      <c r="C37" s="891">
        <v>1</v>
      </c>
      <c r="D37" s="949">
        <v>0</v>
      </c>
      <c r="E37" s="891">
        <v>3</v>
      </c>
      <c r="F37" s="953">
        <f t="shared" si="2"/>
        <v>4</v>
      </c>
      <c r="G37" s="891">
        <v>1</v>
      </c>
      <c r="H37" s="891">
        <v>0</v>
      </c>
      <c r="I37" s="891">
        <v>6</v>
      </c>
      <c r="J37" s="956">
        <f t="shared" si="3"/>
        <v>7</v>
      </c>
      <c r="K37" s="1190" t="s">
        <v>1016</v>
      </c>
    </row>
    <row r="38" spans="1:11">
      <c r="A38" s="2468"/>
      <c r="B38" s="1090" t="s">
        <v>605</v>
      </c>
      <c r="C38" s="891"/>
      <c r="D38" s="949"/>
      <c r="E38" s="891"/>
      <c r="F38" s="953">
        <f t="shared" si="2"/>
        <v>0</v>
      </c>
      <c r="G38" s="891"/>
      <c r="H38" s="891"/>
      <c r="I38" s="891"/>
      <c r="J38" s="956">
        <f t="shared" si="3"/>
        <v>0</v>
      </c>
      <c r="K38" s="1190" t="s">
        <v>1018</v>
      </c>
    </row>
    <row r="39" spans="1:11">
      <c r="A39" s="2468"/>
      <c r="B39" s="202" t="s">
        <v>506</v>
      </c>
      <c r="C39" s="887"/>
      <c r="D39" s="940"/>
      <c r="E39" s="887"/>
      <c r="F39" s="953">
        <f t="shared" si="2"/>
        <v>0</v>
      </c>
      <c r="G39" s="887"/>
      <c r="H39" s="887"/>
      <c r="I39" s="887"/>
      <c r="J39" s="956">
        <f t="shared" si="3"/>
        <v>0</v>
      </c>
      <c r="K39" s="1190" t="s">
        <v>1834</v>
      </c>
    </row>
    <row r="40" spans="1:11" ht="13.5" thickBot="1">
      <c r="A40" s="2469"/>
      <c r="B40" s="944" t="s">
        <v>975</v>
      </c>
      <c r="C40" s="947">
        <v>0</v>
      </c>
      <c r="D40" s="951">
        <v>0</v>
      </c>
      <c r="E40" s="947">
        <v>3</v>
      </c>
      <c r="F40" s="954">
        <f t="shared" si="2"/>
        <v>3</v>
      </c>
      <c r="G40" s="947">
        <v>0</v>
      </c>
      <c r="H40" s="947">
        <v>0</v>
      </c>
      <c r="I40" s="947">
        <v>1</v>
      </c>
      <c r="J40" s="958">
        <f t="shared" si="3"/>
        <v>1</v>
      </c>
      <c r="K40" s="1190" t="s">
        <v>1017</v>
      </c>
    </row>
    <row r="41" spans="1:11" ht="13.5" thickBot="1">
      <c r="B41" s="945" t="s">
        <v>1740</v>
      </c>
      <c r="C41" s="888">
        <f>SUM(C21:C40)-C26</f>
        <v>13</v>
      </c>
      <c r="D41" s="888">
        <f t="shared" ref="D41:I41" si="4">SUM(D21:D40)-D26</f>
        <v>10</v>
      </c>
      <c r="E41" s="888">
        <f t="shared" si="4"/>
        <v>78</v>
      </c>
      <c r="F41" s="888">
        <f t="shared" si="4"/>
        <v>101</v>
      </c>
      <c r="G41" s="888">
        <f t="shared" si="4"/>
        <v>27</v>
      </c>
      <c r="H41" s="888">
        <f t="shared" si="4"/>
        <v>12</v>
      </c>
      <c r="I41" s="888">
        <f t="shared" si="4"/>
        <v>119</v>
      </c>
      <c r="J41" s="959">
        <f>SUM(J21:J40)-J26</f>
        <v>158</v>
      </c>
      <c r="K41" s="1190" t="s">
        <v>1019</v>
      </c>
    </row>
    <row r="42" spans="1:11">
      <c r="C42" s="1189">
        <v>1</v>
      </c>
      <c r="D42" s="1189">
        <v>2</v>
      </c>
      <c r="E42" s="1189">
        <v>3</v>
      </c>
      <c r="F42" s="1200">
        <v>0</v>
      </c>
      <c r="G42" s="1189">
        <v>1</v>
      </c>
      <c r="H42" s="1189">
        <v>2</v>
      </c>
      <c r="I42" s="1189">
        <v>3</v>
      </c>
      <c r="J42" s="1200">
        <v>0</v>
      </c>
      <c r="K42" s="1189" t="s">
        <v>1013</v>
      </c>
    </row>
    <row r="46" spans="1:11" ht="13.5" thickBot="1"/>
    <row r="47" spans="1:11" ht="13.5" thickBot="1">
      <c r="A47" s="2463" t="s">
        <v>2493</v>
      </c>
      <c r="B47" s="2464"/>
      <c r="C47" s="2464"/>
      <c r="D47" s="2464"/>
      <c r="E47" s="2464"/>
      <c r="F47" s="2464"/>
      <c r="G47" s="2464"/>
      <c r="H47" s="2464"/>
      <c r="I47" s="2464"/>
      <c r="J47" s="2464"/>
    </row>
    <row r="48" spans="1:11">
      <c r="C48" s="1189">
        <v>1</v>
      </c>
      <c r="D48" s="1189">
        <v>1</v>
      </c>
      <c r="E48" s="1189">
        <v>1</v>
      </c>
      <c r="F48" s="1189">
        <v>1</v>
      </c>
      <c r="G48" s="1189">
        <v>2</v>
      </c>
      <c r="H48" s="1189">
        <v>2</v>
      </c>
      <c r="I48" s="1189">
        <v>2</v>
      </c>
      <c r="J48" s="1189">
        <v>2</v>
      </c>
      <c r="K48" s="1189" t="s">
        <v>1307</v>
      </c>
    </row>
    <row r="49" spans="1:11">
      <c r="B49" s="221" t="s">
        <v>1136</v>
      </c>
      <c r="C49" s="2470" t="s">
        <v>707</v>
      </c>
      <c r="D49" s="2471"/>
      <c r="E49" s="2471"/>
      <c r="F49" s="2472"/>
      <c r="G49" s="2470" t="s">
        <v>708</v>
      </c>
      <c r="H49" s="2471"/>
      <c r="I49" s="2471"/>
      <c r="J49" s="2472"/>
    </row>
    <row r="50" spans="1:11" ht="13.5" thickBot="1">
      <c r="B50" s="180" t="s">
        <v>1731</v>
      </c>
      <c r="C50" s="856" t="s">
        <v>1732</v>
      </c>
      <c r="D50" s="856" t="s">
        <v>1733</v>
      </c>
      <c r="E50" s="856" t="s">
        <v>1734</v>
      </c>
      <c r="F50" s="856" t="s">
        <v>768</v>
      </c>
      <c r="G50" s="856" t="s">
        <v>1732</v>
      </c>
      <c r="H50" s="856" t="s">
        <v>1733</v>
      </c>
      <c r="I50" s="856" t="s">
        <v>1734</v>
      </c>
      <c r="J50" s="856" t="s">
        <v>768</v>
      </c>
      <c r="K50" s="1189" t="s">
        <v>1020</v>
      </c>
    </row>
    <row r="51" spans="1:11" ht="36">
      <c r="A51" s="2460" t="s">
        <v>750</v>
      </c>
      <c r="B51" s="222" t="s">
        <v>1286</v>
      </c>
      <c r="C51" s="886"/>
      <c r="D51" s="886"/>
      <c r="E51" s="886"/>
      <c r="F51" s="890">
        <f t="shared" ref="F51:F58" si="5">SUM(C51:E51)</f>
        <v>0</v>
      </c>
      <c r="G51" s="886"/>
      <c r="H51" s="886"/>
      <c r="I51" s="886"/>
      <c r="J51" s="894">
        <f t="shared" ref="J51:J58" si="6">SUM(G51:I51)</f>
        <v>0</v>
      </c>
      <c r="K51" s="1207">
        <v>11</v>
      </c>
    </row>
    <row r="52" spans="1:11">
      <c r="A52" s="2468"/>
      <c r="B52" s="203" t="s">
        <v>1287</v>
      </c>
      <c r="C52" s="891"/>
      <c r="D52" s="891"/>
      <c r="E52" s="891"/>
      <c r="F52" s="892">
        <f t="shared" si="5"/>
        <v>0</v>
      </c>
      <c r="G52" s="891"/>
      <c r="H52" s="891"/>
      <c r="I52" s="891"/>
      <c r="J52" s="895">
        <f t="shared" si="6"/>
        <v>0</v>
      </c>
      <c r="K52" s="1207">
        <v>15</v>
      </c>
    </row>
    <row r="53" spans="1:11">
      <c r="A53" s="2468"/>
      <c r="B53" s="207" t="s">
        <v>159</v>
      </c>
      <c r="C53" s="891"/>
      <c r="D53" s="891"/>
      <c r="E53" s="891"/>
      <c r="F53" s="892">
        <f t="shared" si="5"/>
        <v>0</v>
      </c>
      <c r="G53" s="891"/>
      <c r="H53" s="891"/>
      <c r="I53" s="891"/>
      <c r="J53" s="895">
        <f t="shared" si="6"/>
        <v>0</v>
      </c>
      <c r="K53" s="1207">
        <v>20</v>
      </c>
    </row>
    <row r="54" spans="1:11">
      <c r="A54" s="2468"/>
      <c r="B54" s="207" t="s">
        <v>161</v>
      </c>
      <c r="C54" s="891">
        <v>0</v>
      </c>
      <c r="D54" s="891">
        <v>0</v>
      </c>
      <c r="E54" s="891">
        <v>0</v>
      </c>
      <c r="F54" s="892">
        <f t="shared" si="5"/>
        <v>0</v>
      </c>
      <c r="G54" s="1783">
        <v>0</v>
      </c>
      <c r="H54" s="1782">
        <v>0</v>
      </c>
      <c r="I54" s="1783">
        <v>5</v>
      </c>
      <c r="J54" s="895">
        <f t="shared" si="6"/>
        <v>5</v>
      </c>
      <c r="K54" s="1207">
        <v>21</v>
      </c>
    </row>
    <row r="55" spans="1:11" ht="13.5" thickBot="1">
      <c r="A55" s="2468"/>
      <c r="B55" s="209" t="s">
        <v>151</v>
      </c>
      <c r="C55" s="887">
        <v>1</v>
      </c>
      <c r="D55" s="887">
        <v>1</v>
      </c>
      <c r="E55" s="887">
        <v>0</v>
      </c>
      <c r="F55" s="893">
        <f t="shared" si="5"/>
        <v>2</v>
      </c>
      <c r="G55" s="1784">
        <v>0</v>
      </c>
      <c r="H55" s="1784">
        <v>1</v>
      </c>
      <c r="I55" s="1784">
        <v>4</v>
      </c>
      <c r="J55" s="896">
        <f t="shared" si="6"/>
        <v>5</v>
      </c>
      <c r="K55" s="1207">
        <v>23</v>
      </c>
    </row>
    <row r="56" spans="1:11">
      <c r="A56" s="2460" t="s">
        <v>162</v>
      </c>
      <c r="B56" s="974" t="s">
        <v>1736</v>
      </c>
      <c r="C56" s="1778">
        <v>2</v>
      </c>
      <c r="D56" s="1778">
        <v>1</v>
      </c>
      <c r="E56" s="1778">
        <v>2</v>
      </c>
      <c r="F56" s="890">
        <f t="shared" si="5"/>
        <v>5</v>
      </c>
      <c r="G56" s="1781">
        <v>2</v>
      </c>
      <c r="H56" s="1781">
        <v>2</v>
      </c>
      <c r="I56" s="1781">
        <v>26</v>
      </c>
      <c r="J56" s="894">
        <f t="shared" si="6"/>
        <v>30</v>
      </c>
      <c r="K56" s="1207">
        <v>19</v>
      </c>
    </row>
    <row r="57" spans="1:11">
      <c r="A57" s="2461"/>
      <c r="B57" s="975" t="s">
        <v>2494</v>
      </c>
      <c r="C57" s="1780">
        <v>1</v>
      </c>
      <c r="D57" s="1780">
        <v>5</v>
      </c>
      <c r="E57" s="1780">
        <v>5</v>
      </c>
      <c r="F57" s="892">
        <f t="shared" si="5"/>
        <v>11</v>
      </c>
      <c r="G57" s="1783">
        <v>5</v>
      </c>
      <c r="H57" s="1783">
        <v>5</v>
      </c>
      <c r="I57" s="1783">
        <v>14</v>
      </c>
      <c r="J57" s="895">
        <f t="shared" si="6"/>
        <v>24</v>
      </c>
      <c r="K57" s="1207" t="s">
        <v>2267</v>
      </c>
    </row>
    <row r="58" spans="1:11">
      <c r="A58" s="2461"/>
      <c r="B58" s="976" t="s">
        <v>2495</v>
      </c>
      <c r="C58" s="1779">
        <v>1</v>
      </c>
      <c r="D58" s="1779">
        <v>1</v>
      </c>
      <c r="E58" s="1779">
        <v>1</v>
      </c>
      <c r="F58" s="892">
        <f t="shared" si="5"/>
        <v>3</v>
      </c>
      <c r="G58" s="1782">
        <v>2</v>
      </c>
      <c r="H58" s="1782">
        <v>2</v>
      </c>
      <c r="I58" s="1782">
        <v>6</v>
      </c>
      <c r="J58" s="895">
        <f t="shared" si="6"/>
        <v>10</v>
      </c>
      <c r="K58" s="1207" t="s">
        <v>2268</v>
      </c>
    </row>
    <row r="59" spans="1:11">
      <c r="A59" s="2461"/>
      <c r="B59" s="207" t="s">
        <v>1737</v>
      </c>
      <c r="C59" s="1780">
        <v>0</v>
      </c>
      <c r="D59" s="1780">
        <v>0</v>
      </c>
      <c r="E59" s="1779">
        <v>0</v>
      </c>
      <c r="F59" s="892">
        <f t="shared" ref="F59:F64" si="7">SUM(C59:E59)</f>
        <v>0</v>
      </c>
      <c r="G59" s="1782">
        <v>0</v>
      </c>
      <c r="H59" s="1783">
        <v>3</v>
      </c>
      <c r="I59" s="1783">
        <v>3</v>
      </c>
      <c r="J59" s="895">
        <f t="shared" ref="J59:J64" si="8">SUM(G59:I59)</f>
        <v>6</v>
      </c>
      <c r="K59" s="1207" t="s">
        <v>1014</v>
      </c>
    </row>
    <row r="60" spans="1:11">
      <c r="A60" s="2461"/>
      <c r="B60" s="207" t="s">
        <v>1738</v>
      </c>
      <c r="C60" s="1780">
        <v>0</v>
      </c>
      <c r="D60" s="1779">
        <v>0</v>
      </c>
      <c r="E60" s="1779">
        <v>2</v>
      </c>
      <c r="F60" s="892">
        <f t="shared" si="7"/>
        <v>2</v>
      </c>
      <c r="G60" s="1782">
        <v>0</v>
      </c>
      <c r="H60" s="1782">
        <v>0</v>
      </c>
      <c r="I60" s="1783">
        <v>0</v>
      </c>
      <c r="J60" s="895">
        <f t="shared" si="8"/>
        <v>0</v>
      </c>
      <c r="K60" s="1207" t="s">
        <v>1015</v>
      </c>
    </row>
    <row r="61" spans="1:11">
      <c r="A61" s="2461"/>
      <c r="B61" s="207" t="s">
        <v>1739</v>
      </c>
      <c r="C61" s="1779">
        <v>0</v>
      </c>
      <c r="D61" s="1779">
        <v>0</v>
      </c>
      <c r="E61" s="1779">
        <v>1</v>
      </c>
      <c r="F61" s="892">
        <f t="shared" si="7"/>
        <v>1</v>
      </c>
      <c r="G61" s="1782">
        <v>0</v>
      </c>
      <c r="H61" s="1782">
        <v>0</v>
      </c>
      <c r="I61" s="1782">
        <v>1</v>
      </c>
      <c r="J61" s="895">
        <f t="shared" si="8"/>
        <v>1</v>
      </c>
      <c r="K61" s="1207" t="s">
        <v>1016</v>
      </c>
    </row>
    <row r="62" spans="1:11">
      <c r="A62" s="2461"/>
      <c r="B62" s="207" t="s">
        <v>605</v>
      </c>
      <c r="C62" s="1779"/>
      <c r="D62" s="1779"/>
      <c r="E62" s="1779"/>
      <c r="F62" s="892">
        <f t="shared" si="7"/>
        <v>0</v>
      </c>
      <c r="G62" s="1782"/>
      <c r="H62" s="1782"/>
      <c r="I62" s="1782"/>
      <c r="J62" s="895">
        <f t="shared" si="8"/>
        <v>0</v>
      </c>
      <c r="K62" s="1207" t="s">
        <v>1018</v>
      </c>
    </row>
    <row r="63" spans="1:11">
      <c r="A63" s="2461"/>
      <c r="B63" s="207" t="s">
        <v>1833</v>
      </c>
      <c r="C63" s="1779">
        <v>8</v>
      </c>
      <c r="D63" s="1779">
        <v>2</v>
      </c>
      <c r="E63" s="1779">
        <v>66</v>
      </c>
      <c r="F63" s="892">
        <f t="shared" si="7"/>
        <v>76</v>
      </c>
      <c r="G63" s="1782">
        <v>17</v>
      </c>
      <c r="H63" s="1782">
        <v>12</v>
      </c>
      <c r="I63" s="1783">
        <v>89</v>
      </c>
      <c r="J63" s="895">
        <f t="shared" si="8"/>
        <v>118</v>
      </c>
      <c r="K63" s="1207" t="s">
        <v>1835</v>
      </c>
    </row>
    <row r="64" spans="1:11" ht="13.5" thickBot="1">
      <c r="A64" s="2462"/>
      <c r="B64" s="208" t="s">
        <v>975</v>
      </c>
      <c r="C64" s="1779">
        <v>0</v>
      </c>
      <c r="D64" s="1779">
        <v>0</v>
      </c>
      <c r="E64" s="1779">
        <v>1</v>
      </c>
      <c r="F64" s="892">
        <f t="shared" si="7"/>
        <v>1</v>
      </c>
      <c r="G64" s="1782">
        <v>0</v>
      </c>
      <c r="H64" s="1782">
        <v>0</v>
      </c>
      <c r="I64" s="1782">
        <v>1</v>
      </c>
      <c r="J64" s="895">
        <f t="shared" si="8"/>
        <v>1</v>
      </c>
      <c r="K64" s="1207" t="s">
        <v>1017</v>
      </c>
    </row>
    <row r="65" spans="2:11" ht="13.5" thickBot="1">
      <c r="B65" s="481" t="s">
        <v>1740</v>
      </c>
      <c r="C65" s="888">
        <f t="shared" ref="C65:J65" si="9">SUM(C51:C64)-C58</f>
        <v>12</v>
      </c>
      <c r="D65" s="888">
        <f t="shared" si="9"/>
        <v>9</v>
      </c>
      <c r="E65" s="888">
        <f t="shared" si="9"/>
        <v>77</v>
      </c>
      <c r="F65" s="888">
        <f t="shared" si="9"/>
        <v>98</v>
      </c>
      <c r="G65" s="888">
        <f t="shared" si="9"/>
        <v>24</v>
      </c>
      <c r="H65" s="888">
        <f t="shared" si="9"/>
        <v>23</v>
      </c>
      <c r="I65" s="888">
        <f t="shared" si="9"/>
        <v>143</v>
      </c>
      <c r="J65" s="889">
        <f t="shared" si="9"/>
        <v>190</v>
      </c>
      <c r="K65" s="1207" t="s">
        <v>1019</v>
      </c>
    </row>
    <row r="66" spans="2:11" ht="12.75" customHeight="1">
      <c r="C66" s="1189">
        <v>1</v>
      </c>
      <c r="D66" s="1189">
        <v>2</v>
      </c>
      <c r="E66" s="1189">
        <v>3</v>
      </c>
      <c r="F66" s="1200">
        <v>0</v>
      </c>
      <c r="G66" s="1189">
        <v>1</v>
      </c>
      <c r="H66" s="1189">
        <v>2</v>
      </c>
      <c r="I66" s="1189">
        <v>3</v>
      </c>
      <c r="J66" s="1200">
        <v>0</v>
      </c>
      <c r="K66" s="1189" t="s">
        <v>1013</v>
      </c>
    </row>
  </sheetData>
  <mergeCells count="21">
    <mergeCell ref="C19:F19"/>
    <mergeCell ref="G19:J19"/>
    <mergeCell ref="A3:B3"/>
    <mergeCell ref="A13:C13"/>
    <mergeCell ref="A16:J16"/>
    <mergeCell ref="A7:J7"/>
    <mergeCell ref="G4:H4"/>
    <mergeCell ref="C1:D1"/>
    <mergeCell ref="G3:H3"/>
    <mergeCell ref="A4:B4"/>
    <mergeCell ref="C4:D4"/>
    <mergeCell ref="E4:F4"/>
    <mergeCell ref="E3:F3"/>
    <mergeCell ref="C3:D3"/>
    <mergeCell ref="A56:A64"/>
    <mergeCell ref="A47:J47"/>
    <mergeCell ref="A21:A29"/>
    <mergeCell ref="A30:A40"/>
    <mergeCell ref="A51:A55"/>
    <mergeCell ref="C49:F49"/>
    <mergeCell ref="G49:J49"/>
  </mergeCells>
  <dataValidations count="1">
    <dataValidation type="whole" allowBlank="1" showInputMessage="1" showErrorMessage="1" errorTitle="Erreur de saisie" error="Vous devez saisir une valeur entière" sqref="G27:I40 G51:I64 C51:E64 C27:E40 C21:E25 G21:I25">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46" orientation="portrait" r:id="rId1"/>
  <headerFooter alignWithMargins="0">
    <oddFooter>&amp;LRSU 2020 - Présentation au CTP&amp;R&amp;P/&amp;N
&amp;A</oddFooter>
  </headerFooter>
  <rowBreaks count="1" manualBreakCount="1">
    <brk id="46" max="16383" man="1"/>
  </rowBreaks>
</worksheet>
</file>

<file path=xl/worksheets/sheet35.xml><?xml version="1.0" encoding="utf-8"?>
<worksheet xmlns="http://schemas.openxmlformats.org/spreadsheetml/2006/main" xmlns:r="http://schemas.openxmlformats.org/officeDocument/2006/relationships">
  <sheetPr codeName="Feuil27">
    <pageSetUpPr fitToPage="1"/>
  </sheetPr>
  <dimension ref="A1:IV34"/>
  <sheetViews>
    <sheetView showGridLines="0" zoomScaleNormal="85" workbookViewId="0"/>
  </sheetViews>
  <sheetFormatPr baseColWidth="10" defaultColWidth="10.85546875" defaultRowHeight="12.75" customHeight="1"/>
  <cols>
    <col min="1" max="1" width="25.7109375" customWidth="1"/>
    <col min="2" max="2" width="19.85546875" customWidth="1"/>
    <col min="3" max="3" width="16.140625" customWidth="1"/>
    <col min="4" max="4" width="17.7109375" customWidth="1"/>
    <col min="5" max="5" width="17" customWidth="1"/>
    <col min="6" max="6" width="12" customWidth="1"/>
    <col min="7" max="7" width="22.42578125" customWidth="1"/>
  </cols>
  <sheetData>
    <row r="1" spans="1:10" ht="17.100000000000001" customHeight="1">
      <c r="A1" s="1"/>
      <c r="B1" s="1"/>
      <c r="C1" s="2245" t="s">
        <v>958</v>
      </c>
      <c r="D1" s="2245"/>
      <c r="E1" s="1"/>
      <c r="F1" s="1"/>
      <c r="G1" s="1"/>
      <c r="H1" s="1"/>
    </row>
    <row r="2" spans="1:10" ht="13.5" thickBot="1"/>
    <row r="3" spans="1:10" s="1097" customFormat="1" ht="25.5" customHeight="1" thickBot="1">
      <c r="A3" s="2273" t="s">
        <v>2496</v>
      </c>
      <c r="B3" s="2273"/>
      <c r="C3" s="2273"/>
      <c r="D3" s="2273"/>
      <c r="E3" s="2273"/>
      <c r="F3" s="2273"/>
      <c r="G3" s="1094"/>
    </row>
    <row r="5" spans="1:10" s="1097" customFormat="1" ht="12.75" customHeight="1">
      <c r="A5" s="2242" t="s">
        <v>1681</v>
      </c>
      <c r="B5" s="2242"/>
      <c r="C5" s="2242"/>
      <c r="D5" s="2242"/>
      <c r="E5" s="2242"/>
      <c r="F5" s="2242"/>
      <c r="G5" s="1091"/>
      <c r="H5" s="1091"/>
      <c r="I5" s="1096"/>
      <c r="J5" s="1096"/>
    </row>
    <row r="6" spans="1:10" s="1097" customFormat="1" ht="12.75" customHeight="1">
      <c r="A6" s="2244" t="s">
        <v>1861</v>
      </c>
      <c r="B6" s="2244"/>
      <c r="C6" s="2244"/>
      <c r="D6" s="2244"/>
      <c r="E6" s="2244"/>
      <c r="F6" s="2244"/>
      <c r="G6" s="1096"/>
      <c r="H6" s="1096"/>
      <c r="I6" s="1096"/>
      <c r="J6" s="1096"/>
    </row>
    <row r="9" spans="1:10" s="1097" customFormat="1" ht="12.75" customHeight="1">
      <c r="A9" s="2244" t="s">
        <v>959</v>
      </c>
      <c r="B9" s="2244"/>
      <c r="C9" s="2244"/>
      <c r="D9" s="2244"/>
      <c r="E9" s="2244"/>
      <c r="F9" s="1092"/>
      <c r="G9" s="1096"/>
      <c r="H9" s="1096"/>
      <c r="I9" s="1096"/>
      <c r="J9" s="1096"/>
    </row>
    <row r="11" spans="1:10" s="1097" customFormat="1" ht="12.75" customHeight="1">
      <c r="A11" s="2239" t="s">
        <v>1682</v>
      </c>
      <c r="B11" s="2239"/>
      <c r="C11" s="2239"/>
      <c r="D11" s="2239"/>
      <c r="E11" s="2239"/>
      <c r="F11" s="2239"/>
      <c r="G11" s="1096"/>
      <c r="H11" s="1096"/>
      <c r="I11" s="1096"/>
      <c r="J11" s="1096"/>
    </row>
    <row r="12" spans="1:10" s="1111" customFormat="1" ht="12.75" customHeight="1">
      <c r="A12" s="2261" t="s">
        <v>1668</v>
      </c>
      <c r="B12" s="2261"/>
      <c r="C12" s="2261"/>
      <c r="D12" s="2261"/>
      <c r="E12" s="2261"/>
      <c r="F12" s="1110"/>
    </row>
    <row r="13" spans="1:10" ht="11.1" customHeight="1"/>
    <row r="14" spans="1:10" s="1097" customFormat="1" ht="12.75" customHeight="1">
      <c r="A14" s="2240" t="s">
        <v>1683</v>
      </c>
      <c r="B14" s="2240"/>
      <c r="C14" s="2240"/>
      <c r="D14" s="2240"/>
      <c r="E14" s="2240"/>
      <c r="F14" s="2240"/>
      <c r="G14" s="1096"/>
      <c r="H14" s="1096"/>
      <c r="I14" s="1096"/>
      <c r="J14" s="1096"/>
    </row>
    <row r="16" spans="1:10" s="1097" customFormat="1" ht="12.75" customHeight="1">
      <c r="A16" s="2239" t="s">
        <v>2497</v>
      </c>
      <c r="B16" s="2239"/>
      <c r="C16" s="2239"/>
      <c r="D16" s="2239"/>
      <c r="E16" s="2239"/>
      <c r="F16" s="2239"/>
      <c r="G16" s="1096"/>
      <c r="H16" s="1096"/>
      <c r="I16" s="1096"/>
      <c r="J16" s="1096"/>
    </row>
    <row r="18" spans="1:256" s="1096" customFormat="1" ht="12.75" customHeight="1">
      <c r="A18" s="2239" t="s">
        <v>2599</v>
      </c>
      <c r="B18" s="2239"/>
      <c r="C18" s="2239"/>
      <c r="D18" s="2239"/>
      <c r="E18" s="2239"/>
      <c r="F18" s="2239"/>
    </row>
    <row r="21" spans="1:256" s="1096" customFormat="1" ht="12.75" customHeight="1">
      <c r="A21" s="2244" t="s">
        <v>960</v>
      </c>
      <c r="B21" s="2244"/>
      <c r="C21" s="2244"/>
      <c r="D21" s="2244"/>
      <c r="E21" s="2244"/>
      <c r="F21" s="2244"/>
    </row>
    <row r="23" spans="1:256" s="1093" customFormat="1" ht="12.75" customHeight="1">
      <c r="A23" s="2240" t="s">
        <v>2155</v>
      </c>
      <c r="B23" s="2240"/>
      <c r="C23" s="2240"/>
      <c r="D23" s="2240"/>
      <c r="E23" s="2240"/>
      <c r="F23" s="2240"/>
    </row>
    <row r="24" spans="1:256" s="1098" customFormat="1" ht="12.75" customHeight="1">
      <c r="A24" s="2259" t="s">
        <v>2156</v>
      </c>
      <c r="B24" s="2259"/>
      <c r="C24" s="2259"/>
      <c r="D24" s="2259"/>
      <c r="E24" s="2259"/>
      <c r="F24" s="2259"/>
      <c r="G24" s="1097"/>
      <c r="H24" s="1097"/>
      <c r="I24" s="1097"/>
      <c r="J24" s="1097"/>
      <c r="K24" s="1097"/>
      <c r="L24" s="1097"/>
      <c r="M24" s="1097"/>
      <c r="N24" s="1097"/>
      <c r="O24" s="1097"/>
      <c r="P24" s="1097"/>
      <c r="Q24" s="1097"/>
      <c r="R24" s="1097"/>
      <c r="S24" s="1097"/>
      <c r="T24" s="1097"/>
      <c r="U24" s="1097"/>
      <c r="V24" s="1097"/>
      <c r="W24" s="1097"/>
      <c r="X24" s="1097"/>
      <c r="Y24" s="1097"/>
      <c r="Z24" s="1097"/>
      <c r="AA24" s="1097"/>
      <c r="AB24" s="1097"/>
      <c r="AC24" s="1097"/>
      <c r="AD24" s="1097"/>
      <c r="AE24" s="1097"/>
      <c r="AF24" s="1097"/>
      <c r="AG24" s="1097"/>
      <c r="AH24" s="1097"/>
      <c r="AI24" s="1097"/>
      <c r="AJ24" s="1097"/>
      <c r="AK24" s="1097"/>
      <c r="AL24" s="1097"/>
      <c r="AM24" s="1097"/>
      <c r="AN24" s="1097"/>
      <c r="AO24" s="1097"/>
      <c r="AP24" s="1097"/>
      <c r="AQ24" s="1097"/>
      <c r="AR24" s="1097"/>
      <c r="AS24" s="1097"/>
      <c r="AT24" s="1097"/>
      <c r="AU24" s="1097"/>
      <c r="AV24" s="1097"/>
      <c r="AW24" s="1097"/>
      <c r="AX24" s="1097"/>
      <c r="AY24" s="1097"/>
      <c r="AZ24" s="1097"/>
      <c r="BA24" s="1097"/>
      <c r="BB24" s="1097"/>
      <c r="BC24" s="1097"/>
      <c r="BD24" s="1097"/>
      <c r="BE24" s="1097"/>
      <c r="BF24" s="1097"/>
      <c r="BG24" s="1097"/>
      <c r="BH24" s="1097"/>
      <c r="BI24" s="1097"/>
      <c r="BJ24" s="1097"/>
      <c r="BK24" s="1097"/>
      <c r="BL24" s="1097"/>
      <c r="BM24" s="1097"/>
      <c r="BN24" s="1097"/>
      <c r="BO24" s="1097"/>
      <c r="BP24" s="1097"/>
      <c r="BQ24" s="1097"/>
      <c r="BR24" s="1097"/>
      <c r="BS24" s="1097"/>
      <c r="BT24" s="1097"/>
      <c r="BU24" s="1097"/>
      <c r="BV24" s="1097"/>
      <c r="BW24" s="1097"/>
      <c r="BX24" s="1097"/>
      <c r="BY24" s="1097"/>
      <c r="BZ24" s="1097"/>
      <c r="CA24" s="1097"/>
      <c r="CB24" s="1097"/>
      <c r="CC24" s="1097"/>
      <c r="CD24" s="1097"/>
      <c r="CE24" s="1097"/>
      <c r="CF24" s="1097"/>
      <c r="CG24" s="1097"/>
      <c r="CH24" s="1097"/>
      <c r="CI24" s="1097"/>
      <c r="CJ24" s="1097"/>
      <c r="CK24" s="1097"/>
      <c r="CL24" s="1097"/>
      <c r="CM24" s="1097"/>
      <c r="CN24" s="1097"/>
      <c r="CO24" s="1097"/>
      <c r="CP24" s="1097"/>
      <c r="CQ24" s="1097"/>
      <c r="CR24" s="1097"/>
      <c r="CS24" s="1097"/>
      <c r="CT24" s="1097"/>
      <c r="CU24" s="1097"/>
      <c r="CV24" s="1097"/>
      <c r="CW24" s="1097"/>
      <c r="CX24" s="1097"/>
      <c r="CY24" s="1097"/>
      <c r="CZ24" s="1097"/>
      <c r="DA24" s="1097"/>
      <c r="DB24" s="1097"/>
      <c r="DC24" s="1097"/>
      <c r="DD24" s="1097"/>
      <c r="DE24" s="1097"/>
      <c r="DF24" s="1097"/>
      <c r="DG24" s="1097"/>
      <c r="DH24" s="1097"/>
      <c r="DI24" s="1097"/>
      <c r="DJ24" s="1097"/>
      <c r="DK24" s="1097"/>
      <c r="DL24" s="1097"/>
      <c r="DM24" s="1097"/>
      <c r="DN24" s="1097"/>
      <c r="DO24" s="1097"/>
      <c r="DP24" s="1097"/>
      <c r="DQ24" s="1097"/>
      <c r="DR24" s="1097"/>
      <c r="DS24" s="1097"/>
      <c r="DT24" s="1097"/>
      <c r="DU24" s="1097"/>
      <c r="DV24" s="1097"/>
      <c r="DW24" s="1097"/>
      <c r="DX24" s="1097"/>
      <c r="DY24" s="1097"/>
      <c r="DZ24" s="1097"/>
      <c r="EA24" s="1097"/>
      <c r="EB24" s="1097"/>
      <c r="EC24" s="1097"/>
      <c r="ED24" s="1097"/>
      <c r="EE24" s="1097"/>
      <c r="EF24" s="1097"/>
      <c r="EG24" s="1097"/>
      <c r="EH24" s="1097"/>
      <c r="EI24" s="1097"/>
      <c r="EJ24" s="1097"/>
      <c r="EK24" s="1097"/>
      <c r="EL24" s="1097"/>
      <c r="EM24" s="1097"/>
      <c r="EN24" s="1097"/>
      <c r="EO24" s="1097"/>
      <c r="EP24" s="1097"/>
      <c r="EQ24" s="1097"/>
      <c r="ER24" s="1097"/>
      <c r="ES24" s="1097"/>
      <c r="ET24" s="1097"/>
      <c r="EU24" s="1097"/>
      <c r="EV24" s="1097"/>
      <c r="EW24" s="1097"/>
      <c r="EX24" s="1097"/>
      <c r="EY24" s="1097"/>
      <c r="EZ24" s="1097"/>
      <c r="FA24" s="1097"/>
      <c r="FB24" s="1097"/>
      <c r="FC24" s="1097"/>
      <c r="FD24" s="1097"/>
      <c r="FE24" s="1097"/>
      <c r="FF24" s="1097"/>
      <c r="FG24" s="1097"/>
      <c r="FH24" s="1097"/>
      <c r="FI24" s="1097"/>
      <c r="FJ24" s="1097"/>
      <c r="FK24" s="1097"/>
      <c r="FL24" s="1097"/>
      <c r="FM24" s="1097"/>
      <c r="FN24" s="1097"/>
      <c r="FO24" s="1097"/>
      <c r="FP24" s="1097"/>
      <c r="FQ24" s="1097"/>
      <c r="FR24" s="1097"/>
      <c r="FS24" s="1097"/>
      <c r="FT24" s="1097"/>
      <c r="FU24" s="1097"/>
      <c r="FV24" s="1097"/>
      <c r="FW24" s="1097"/>
      <c r="FX24" s="1097"/>
      <c r="FY24" s="1097"/>
      <c r="FZ24" s="1097"/>
      <c r="GA24" s="1097"/>
      <c r="GB24" s="1097"/>
      <c r="GC24" s="1097"/>
      <c r="GD24" s="1097"/>
      <c r="GE24" s="1097"/>
      <c r="GF24" s="1097"/>
      <c r="GG24" s="1097"/>
      <c r="GH24" s="1097"/>
      <c r="GI24" s="1097"/>
      <c r="GJ24" s="1097"/>
      <c r="GK24" s="1097"/>
      <c r="GL24" s="1097"/>
      <c r="GM24" s="1097"/>
      <c r="GN24" s="1097"/>
      <c r="GO24" s="1097"/>
      <c r="GP24" s="1097"/>
      <c r="GQ24" s="1097"/>
      <c r="GR24" s="1097"/>
      <c r="GS24" s="1097"/>
      <c r="GT24" s="1097"/>
      <c r="GU24" s="1097"/>
      <c r="GV24" s="1097"/>
      <c r="GW24" s="1097"/>
      <c r="GX24" s="1097"/>
      <c r="GY24" s="1097"/>
      <c r="GZ24" s="1097"/>
      <c r="HA24" s="1097"/>
      <c r="HB24" s="1097"/>
      <c r="HC24" s="1097"/>
      <c r="HD24" s="1097"/>
      <c r="HE24" s="1097"/>
      <c r="HF24" s="1097"/>
      <c r="HG24" s="1097"/>
      <c r="HH24" s="1097"/>
      <c r="HI24" s="1097"/>
      <c r="HJ24" s="1097"/>
      <c r="HK24" s="1097"/>
      <c r="HL24" s="1097"/>
      <c r="HM24" s="1097"/>
      <c r="HN24" s="1097"/>
      <c r="HO24" s="1097"/>
      <c r="HP24" s="1097"/>
      <c r="HQ24" s="1097"/>
      <c r="HR24" s="1097"/>
      <c r="HS24" s="1097"/>
      <c r="HT24" s="1097"/>
      <c r="HU24" s="1097"/>
      <c r="HV24" s="1097"/>
      <c r="HW24" s="1097"/>
      <c r="HX24" s="1097"/>
      <c r="HY24" s="1097"/>
      <c r="HZ24" s="1097"/>
      <c r="IA24" s="1097"/>
      <c r="IB24" s="1097"/>
      <c r="IC24" s="1097"/>
      <c r="ID24" s="1097"/>
      <c r="IE24" s="1097"/>
      <c r="IF24" s="1097"/>
      <c r="IG24" s="1097"/>
      <c r="IH24" s="1097"/>
      <c r="II24" s="1097"/>
      <c r="IJ24" s="1097"/>
      <c r="IK24" s="1097"/>
      <c r="IL24" s="1097"/>
      <c r="IM24" s="1097"/>
      <c r="IN24" s="1097"/>
      <c r="IO24" s="1097"/>
      <c r="IP24" s="1097"/>
      <c r="IQ24" s="1097"/>
      <c r="IR24" s="1097"/>
      <c r="IS24" s="1097"/>
      <c r="IT24" s="1097"/>
      <c r="IU24" s="1097"/>
      <c r="IV24" s="1097"/>
    </row>
    <row r="25" spans="1:256" s="1098" customFormat="1" ht="12.75" customHeight="1">
      <c r="A25" s="2259" t="s">
        <v>2157</v>
      </c>
      <c r="B25" s="2259"/>
      <c r="C25" s="2259"/>
      <c r="D25" s="2259"/>
      <c r="E25" s="2259"/>
      <c r="F25" s="2259"/>
      <c r="G25" s="1097"/>
      <c r="H25" s="1097"/>
      <c r="I25" s="1097"/>
      <c r="J25" s="1097"/>
      <c r="K25" s="1097"/>
      <c r="L25" s="1097"/>
      <c r="M25" s="1097"/>
      <c r="N25" s="1097"/>
      <c r="O25" s="1097"/>
      <c r="P25" s="1097"/>
      <c r="Q25" s="1097"/>
      <c r="R25" s="1097"/>
      <c r="S25" s="1097"/>
      <c r="T25" s="1097"/>
      <c r="U25" s="1097"/>
      <c r="V25" s="1097"/>
      <c r="W25" s="1097"/>
      <c r="X25" s="1097"/>
      <c r="Y25" s="1097"/>
      <c r="Z25" s="1097"/>
      <c r="AA25" s="1097"/>
      <c r="AB25" s="1097"/>
      <c r="AC25" s="1097"/>
      <c r="AD25" s="1097"/>
      <c r="AE25" s="1097"/>
      <c r="AF25" s="1097"/>
      <c r="AG25" s="1097"/>
      <c r="AH25" s="1097"/>
      <c r="AI25" s="1097"/>
      <c r="AJ25" s="1097"/>
      <c r="AK25" s="1097"/>
      <c r="AL25" s="1097"/>
      <c r="AM25" s="1097"/>
      <c r="AN25" s="1097"/>
      <c r="AO25" s="1097"/>
      <c r="AP25" s="1097"/>
      <c r="AQ25" s="1097"/>
      <c r="AR25" s="1097"/>
      <c r="AS25" s="1097"/>
      <c r="AT25" s="1097"/>
      <c r="AU25" s="1097"/>
      <c r="AV25" s="1097"/>
      <c r="AW25" s="1097"/>
      <c r="AX25" s="1097"/>
      <c r="AY25" s="1097"/>
      <c r="AZ25" s="1097"/>
      <c r="BA25" s="1097"/>
      <c r="BB25" s="1097"/>
      <c r="BC25" s="1097"/>
      <c r="BD25" s="1097"/>
      <c r="BE25" s="1097"/>
      <c r="BF25" s="1097"/>
      <c r="BG25" s="1097"/>
      <c r="BH25" s="1097"/>
      <c r="BI25" s="1097"/>
      <c r="BJ25" s="1097"/>
      <c r="BK25" s="1097"/>
      <c r="BL25" s="1097"/>
      <c r="BM25" s="1097"/>
      <c r="BN25" s="1097"/>
      <c r="BO25" s="1097"/>
      <c r="BP25" s="1097"/>
      <c r="BQ25" s="1097"/>
      <c r="BR25" s="1097"/>
      <c r="BS25" s="1097"/>
      <c r="BT25" s="1097"/>
      <c r="BU25" s="1097"/>
      <c r="BV25" s="1097"/>
      <c r="BW25" s="1097"/>
      <c r="BX25" s="1097"/>
      <c r="BY25" s="1097"/>
      <c r="BZ25" s="1097"/>
      <c r="CA25" s="1097"/>
      <c r="CB25" s="1097"/>
      <c r="CC25" s="1097"/>
      <c r="CD25" s="1097"/>
      <c r="CE25" s="1097"/>
      <c r="CF25" s="1097"/>
      <c r="CG25" s="1097"/>
      <c r="CH25" s="1097"/>
      <c r="CI25" s="1097"/>
      <c r="CJ25" s="1097"/>
      <c r="CK25" s="1097"/>
      <c r="CL25" s="1097"/>
      <c r="CM25" s="1097"/>
      <c r="CN25" s="1097"/>
      <c r="CO25" s="1097"/>
      <c r="CP25" s="1097"/>
      <c r="CQ25" s="1097"/>
      <c r="CR25" s="1097"/>
      <c r="CS25" s="1097"/>
      <c r="CT25" s="1097"/>
      <c r="CU25" s="1097"/>
      <c r="CV25" s="1097"/>
      <c r="CW25" s="1097"/>
      <c r="CX25" s="1097"/>
      <c r="CY25" s="1097"/>
      <c r="CZ25" s="1097"/>
      <c r="DA25" s="1097"/>
      <c r="DB25" s="1097"/>
      <c r="DC25" s="1097"/>
      <c r="DD25" s="1097"/>
      <c r="DE25" s="1097"/>
      <c r="DF25" s="1097"/>
      <c r="DG25" s="1097"/>
      <c r="DH25" s="1097"/>
      <c r="DI25" s="1097"/>
      <c r="DJ25" s="1097"/>
      <c r="DK25" s="1097"/>
      <c r="DL25" s="1097"/>
      <c r="DM25" s="1097"/>
      <c r="DN25" s="1097"/>
      <c r="DO25" s="1097"/>
      <c r="DP25" s="1097"/>
      <c r="DQ25" s="1097"/>
      <c r="DR25" s="1097"/>
      <c r="DS25" s="1097"/>
      <c r="DT25" s="1097"/>
      <c r="DU25" s="1097"/>
      <c r="DV25" s="1097"/>
      <c r="DW25" s="1097"/>
      <c r="DX25" s="1097"/>
      <c r="DY25" s="1097"/>
      <c r="DZ25" s="1097"/>
      <c r="EA25" s="1097"/>
      <c r="EB25" s="1097"/>
      <c r="EC25" s="1097"/>
      <c r="ED25" s="1097"/>
      <c r="EE25" s="1097"/>
      <c r="EF25" s="1097"/>
      <c r="EG25" s="1097"/>
      <c r="EH25" s="1097"/>
      <c r="EI25" s="1097"/>
      <c r="EJ25" s="1097"/>
      <c r="EK25" s="1097"/>
      <c r="EL25" s="1097"/>
      <c r="EM25" s="1097"/>
      <c r="EN25" s="1097"/>
      <c r="EO25" s="1097"/>
      <c r="EP25" s="1097"/>
      <c r="EQ25" s="1097"/>
      <c r="ER25" s="1097"/>
      <c r="ES25" s="1097"/>
      <c r="ET25" s="1097"/>
      <c r="EU25" s="1097"/>
      <c r="EV25" s="1097"/>
      <c r="EW25" s="1097"/>
      <c r="EX25" s="1097"/>
      <c r="EY25" s="1097"/>
      <c r="EZ25" s="1097"/>
      <c r="FA25" s="1097"/>
      <c r="FB25" s="1097"/>
      <c r="FC25" s="1097"/>
      <c r="FD25" s="1097"/>
      <c r="FE25" s="1097"/>
      <c r="FF25" s="1097"/>
      <c r="FG25" s="1097"/>
      <c r="FH25" s="1097"/>
      <c r="FI25" s="1097"/>
      <c r="FJ25" s="1097"/>
      <c r="FK25" s="1097"/>
      <c r="FL25" s="1097"/>
      <c r="FM25" s="1097"/>
      <c r="FN25" s="1097"/>
      <c r="FO25" s="1097"/>
      <c r="FP25" s="1097"/>
      <c r="FQ25" s="1097"/>
      <c r="FR25" s="1097"/>
      <c r="FS25" s="1097"/>
      <c r="FT25" s="1097"/>
      <c r="FU25" s="1097"/>
      <c r="FV25" s="1097"/>
      <c r="FW25" s="1097"/>
      <c r="FX25" s="1097"/>
      <c r="FY25" s="1097"/>
      <c r="FZ25" s="1097"/>
      <c r="GA25" s="1097"/>
      <c r="GB25" s="1097"/>
      <c r="GC25" s="1097"/>
      <c r="GD25" s="1097"/>
      <c r="GE25" s="1097"/>
      <c r="GF25" s="1097"/>
      <c r="GG25" s="1097"/>
      <c r="GH25" s="1097"/>
      <c r="GI25" s="1097"/>
      <c r="GJ25" s="1097"/>
      <c r="GK25" s="1097"/>
      <c r="GL25" s="1097"/>
      <c r="GM25" s="1097"/>
      <c r="GN25" s="1097"/>
      <c r="GO25" s="1097"/>
      <c r="GP25" s="1097"/>
      <c r="GQ25" s="1097"/>
      <c r="GR25" s="1097"/>
      <c r="GS25" s="1097"/>
      <c r="GT25" s="1097"/>
      <c r="GU25" s="1097"/>
      <c r="GV25" s="1097"/>
      <c r="GW25" s="1097"/>
      <c r="GX25" s="1097"/>
      <c r="GY25" s="1097"/>
      <c r="GZ25" s="1097"/>
      <c r="HA25" s="1097"/>
      <c r="HB25" s="1097"/>
      <c r="HC25" s="1097"/>
      <c r="HD25" s="1097"/>
      <c r="HE25" s="1097"/>
      <c r="HF25" s="1097"/>
      <c r="HG25" s="1097"/>
      <c r="HH25" s="1097"/>
      <c r="HI25" s="1097"/>
      <c r="HJ25" s="1097"/>
      <c r="HK25" s="1097"/>
      <c r="HL25" s="1097"/>
      <c r="HM25" s="1097"/>
      <c r="HN25" s="1097"/>
      <c r="HO25" s="1097"/>
      <c r="HP25" s="1097"/>
      <c r="HQ25" s="1097"/>
      <c r="HR25" s="1097"/>
      <c r="HS25" s="1097"/>
      <c r="HT25" s="1097"/>
      <c r="HU25" s="1097"/>
      <c r="HV25" s="1097"/>
      <c r="HW25" s="1097"/>
      <c r="HX25" s="1097"/>
      <c r="HY25" s="1097"/>
      <c r="HZ25" s="1097"/>
      <c r="IA25" s="1097"/>
      <c r="IB25" s="1097"/>
      <c r="IC25" s="1097"/>
      <c r="ID25" s="1097"/>
      <c r="IE25" s="1097"/>
      <c r="IF25" s="1097"/>
      <c r="IG25" s="1097"/>
      <c r="IH25" s="1097"/>
      <c r="II25" s="1097"/>
      <c r="IJ25" s="1097"/>
      <c r="IK25" s="1097"/>
      <c r="IL25" s="1097"/>
      <c r="IM25" s="1097"/>
      <c r="IN25" s="1097"/>
      <c r="IO25" s="1097"/>
      <c r="IP25" s="1097"/>
      <c r="IQ25" s="1097"/>
      <c r="IR25" s="1097"/>
      <c r="IS25" s="1097"/>
      <c r="IT25" s="1097"/>
      <c r="IU25" s="1097"/>
      <c r="IV25" s="1097"/>
    </row>
    <row r="26" spans="1:256" s="1098" customFormat="1" ht="12.75" customHeight="1">
      <c r="A26" s="2259" t="s">
        <v>2158</v>
      </c>
      <c r="B26" s="2259"/>
      <c r="C26" s="2259"/>
      <c r="D26" s="2259"/>
      <c r="E26" s="2259"/>
      <c r="F26" s="2259"/>
      <c r="G26" s="1097"/>
      <c r="H26" s="1097"/>
      <c r="I26" s="1097"/>
      <c r="J26" s="1097"/>
      <c r="K26" s="1097"/>
      <c r="L26" s="1097"/>
      <c r="M26" s="1097"/>
      <c r="N26" s="1097"/>
      <c r="O26" s="1097"/>
      <c r="P26" s="1097"/>
      <c r="Q26" s="1097"/>
      <c r="R26" s="1097"/>
      <c r="S26" s="1097"/>
      <c r="T26" s="1097"/>
      <c r="U26" s="1097"/>
      <c r="V26" s="1097"/>
      <c r="W26" s="1097"/>
      <c r="X26" s="1097"/>
      <c r="Y26" s="1097"/>
      <c r="Z26" s="1097"/>
      <c r="AA26" s="1097"/>
      <c r="AB26" s="1097"/>
      <c r="AC26" s="1097"/>
      <c r="AD26" s="1097"/>
      <c r="AE26" s="1097"/>
      <c r="AF26" s="1097"/>
      <c r="AG26" s="1097"/>
      <c r="AH26" s="1097"/>
      <c r="AI26" s="1097"/>
      <c r="AJ26" s="1097"/>
      <c r="AK26" s="1097"/>
      <c r="AL26" s="1097"/>
      <c r="AM26" s="1097"/>
      <c r="AN26" s="1097"/>
      <c r="AO26" s="1097"/>
      <c r="AP26" s="1097"/>
      <c r="AQ26" s="1097"/>
      <c r="AR26" s="1097"/>
      <c r="AS26" s="1097"/>
      <c r="AT26" s="1097"/>
      <c r="AU26" s="1097"/>
      <c r="AV26" s="1097"/>
      <c r="AW26" s="1097"/>
      <c r="AX26" s="1097"/>
      <c r="AY26" s="1097"/>
      <c r="AZ26" s="1097"/>
      <c r="BA26" s="1097"/>
      <c r="BB26" s="1097"/>
      <c r="BC26" s="1097"/>
      <c r="BD26" s="1097"/>
      <c r="BE26" s="1097"/>
      <c r="BF26" s="1097"/>
      <c r="BG26" s="1097"/>
      <c r="BH26" s="1097"/>
      <c r="BI26" s="1097"/>
      <c r="BJ26" s="1097"/>
      <c r="BK26" s="1097"/>
      <c r="BL26" s="1097"/>
      <c r="BM26" s="1097"/>
      <c r="BN26" s="1097"/>
      <c r="BO26" s="1097"/>
      <c r="BP26" s="1097"/>
      <c r="BQ26" s="1097"/>
      <c r="BR26" s="1097"/>
      <c r="BS26" s="1097"/>
      <c r="BT26" s="1097"/>
      <c r="BU26" s="1097"/>
      <c r="BV26" s="1097"/>
      <c r="BW26" s="1097"/>
      <c r="BX26" s="1097"/>
      <c r="BY26" s="1097"/>
      <c r="BZ26" s="1097"/>
      <c r="CA26" s="1097"/>
      <c r="CB26" s="1097"/>
      <c r="CC26" s="1097"/>
      <c r="CD26" s="1097"/>
      <c r="CE26" s="1097"/>
      <c r="CF26" s="1097"/>
      <c r="CG26" s="1097"/>
      <c r="CH26" s="1097"/>
      <c r="CI26" s="1097"/>
      <c r="CJ26" s="1097"/>
      <c r="CK26" s="1097"/>
      <c r="CL26" s="1097"/>
      <c r="CM26" s="1097"/>
      <c r="CN26" s="1097"/>
      <c r="CO26" s="1097"/>
      <c r="CP26" s="1097"/>
      <c r="CQ26" s="1097"/>
      <c r="CR26" s="1097"/>
      <c r="CS26" s="1097"/>
      <c r="CT26" s="1097"/>
      <c r="CU26" s="1097"/>
      <c r="CV26" s="1097"/>
      <c r="CW26" s="1097"/>
      <c r="CX26" s="1097"/>
      <c r="CY26" s="1097"/>
      <c r="CZ26" s="1097"/>
      <c r="DA26" s="1097"/>
      <c r="DB26" s="1097"/>
      <c r="DC26" s="1097"/>
      <c r="DD26" s="1097"/>
      <c r="DE26" s="1097"/>
      <c r="DF26" s="1097"/>
      <c r="DG26" s="1097"/>
      <c r="DH26" s="1097"/>
      <c r="DI26" s="1097"/>
      <c r="DJ26" s="1097"/>
      <c r="DK26" s="1097"/>
      <c r="DL26" s="1097"/>
      <c r="DM26" s="1097"/>
      <c r="DN26" s="1097"/>
      <c r="DO26" s="1097"/>
      <c r="DP26" s="1097"/>
      <c r="DQ26" s="1097"/>
      <c r="DR26" s="1097"/>
      <c r="DS26" s="1097"/>
      <c r="DT26" s="1097"/>
      <c r="DU26" s="1097"/>
      <c r="DV26" s="1097"/>
      <c r="DW26" s="1097"/>
      <c r="DX26" s="1097"/>
      <c r="DY26" s="1097"/>
      <c r="DZ26" s="1097"/>
      <c r="EA26" s="1097"/>
      <c r="EB26" s="1097"/>
      <c r="EC26" s="1097"/>
      <c r="ED26" s="1097"/>
      <c r="EE26" s="1097"/>
      <c r="EF26" s="1097"/>
      <c r="EG26" s="1097"/>
      <c r="EH26" s="1097"/>
      <c r="EI26" s="1097"/>
      <c r="EJ26" s="1097"/>
      <c r="EK26" s="1097"/>
      <c r="EL26" s="1097"/>
      <c r="EM26" s="1097"/>
      <c r="EN26" s="1097"/>
      <c r="EO26" s="1097"/>
      <c r="EP26" s="1097"/>
      <c r="EQ26" s="1097"/>
      <c r="ER26" s="1097"/>
      <c r="ES26" s="1097"/>
      <c r="ET26" s="1097"/>
      <c r="EU26" s="1097"/>
      <c r="EV26" s="1097"/>
      <c r="EW26" s="1097"/>
      <c r="EX26" s="1097"/>
      <c r="EY26" s="1097"/>
      <c r="EZ26" s="1097"/>
      <c r="FA26" s="1097"/>
      <c r="FB26" s="1097"/>
      <c r="FC26" s="1097"/>
      <c r="FD26" s="1097"/>
      <c r="FE26" s="1097"/>
      <c r="FF26" s="1097"/>
      <c r="FG26" s="1097"/>
      <c r="FH26" s="1097"/>
      <c r="FI26" s="1097"/>
      <c r="FJ26" s="1097"/>
      <c r="FK26" s="1097"/>
      <c r="FL26" s="1097"/>
      <c r="FM26" s="1097"/>
      <c r="FN26" s="1097"/>
      <c r="FO26" s="1097"/>
      <c r="FP26" s="1097"/>
      <c r="FQ26" s="1097"/>
      <c r="FR26" s="1097"/>
      <c r="FS26" s="1097"/>
      <c r="FT26" s="1097"/>
      <c r="FU26" s="1097"/>
      <c r="FV26" s="1097"/>
      <c r="FW26" s="1097"/>
      <c r="FX26" s="1097"/>
      <c r="FY26" s="1097"/>
      <c r="FZ26" s="1097"/>
      <c r="GA26" s="1097"/>
      <c r="GB26" s="1097"/>
      <c r="GC26" s="1097"/>
      <c r="GD26" s="1097"/>
      <c r="GE26" s="1097"/>
      <c r="GF26" s="1097"/>
      <c r="GG26" s="1097"/>
      <c r="GH26" s="1097"/>
      <c r="GI26" s="1097"/>
      <c r="GJ26" s="1097"/>
      <c r="GK26" s="1097"/>
      <c r="GL26" s="1097"/>
      <c r="GM26" s="1097"/>
      <c r="GN26" s="1097"/>
      <c r="GO26" s="1097"/>
      <c r="GP26" s="1097"/>
      <c r="GQ26" s="1097"/>
      <c r="GR26" s="1097"/>
      <c r="GS26" s="1097"/>
      <c r="GT26" s="1097"/>
      <c r="GU26" s="1097"/>
      <c r="GV26" s="1097"/>
      <c r="GW26" s="1097"/>
      <c r="GX26" s="1097"/>
      <c r="GY26" s="1097"/>
      <c r="GZ26" s="1097"/>
      <c r="HA26" s="1097"/>
      <c r="HB26" s="1097"/>
      <c r="HC26" s="1097"/>
      <c r="HD26" s="1097"/>
      <c r="HE26" s="1097"/>
      <c r="HF26" s="1097"/>
      <c r="HG26" s="1097"/>
      <c r="HH26" s="1097"/>
      <c r="HI26" s="1097"/>
      <c r="HJ26" s="1097"/>
      <c r="HK26" s="1097"/>
      <c r="HL26" s="1097"/>
      <c r="HM26" s="1097"/>
      <c r="HN26" s="1097"/>
      <c r="HO26" s="1097"/>
      <c r="HP26" s="1097"/>
      <c r="HQ26" s="1097"/>
      <c r="HR26" s="1097"/>
      <c r="HS26" s="1097"/>
      <c r="HT26" s="1097"/>
      <c r="HU26" s="1097"/>
      <c r="HV26" s="1097"/>
      <c r="HW26" s="1097"/>
      <c r="HX26" s="1097"/>
      <c r="HY26" s="1097"/>
      <c r="HZ26" s="1097"/>
      <c r="IA26" s="1097"/>
      <c r="IB26" s="1097"/>
      <c r="IC26" s="1097"/>
      <c r="ID26" s="1097"/>
      <c r="IE26" s="1097"/>
      <c r="IF26" s="1097"/>
      <c r="IG26" s="1097"/>
      <c r="IH26" s="1097"/>
      <c r="II26" s="1097"/>
      <c r="IJ26" s="1097"/>
      <c r="IK26" s="1097"/>
      <c r="IL26" s="1097"/>
      <c r="IM26" s="1097"/>
      <c r="IN26" s="1097"/>
      <c r="IO26" s="1097"/>
      <c r="IP26" s="1097"/>
      <c r="IQ26" s="1097"/>
      <c r="IR26" s="1097"/>
      <c r="IS26" s="1097"/>
      <c r="IT26" s="1097"/>
      <c r="IU26" s="1097"/>
      <c r="IV26" s="1097"/>
    </row>
    <row r="28" spans="1:256" s="1098" customFormat="1" ht="12.75" customHeight="1">
      <c r="A28" s="2239" t="s">
        <v>2159</v>
      </c>
      <c r="B28" s="2239"/>
      <c r="C28" s="2239"/>
      <c r="D28" s="2239"/>
      <c r="E28" s="2239"/>
      <c r="F28" s="2239"/>
      <c r="G28" s="1097"/>
      <c r="H28" s="1097"/>
      <c r="I28" s="1097"/>
      <c r="J28" s="1097"/>
      <c r="K28" s="1097"/>
      <c r="L28" s="1097"/>
      <c r="M28" s="1097"/>
      <c r="N28" s="1097"/>
      <c r="O28" s="1097"/>
      <c r="P28" s="1097"/>
      <c r="Q28" s="1097"/>
      <c r="R28" s="1097"/>
      <c r="S28" s="1097"/>
      <c r="T28" s="1097"/>
      <c r="U28" s="1097"/>
      <c r="V28" s="1097"/>
      <c r="W28" s="1097"/>
      <c r="X28" s="1097"/>
      <c r="Y28" s="1097"/>
      <c r="Z28" s="1097"/>
      <c r="AA28" s="1097"/>
      <c r="AB28" s="1097"/>
      <c r="AC28" s="1097"/>
      <c r="AD28" s="1097"/>
      <c r="AE28" s="1097"/>
      <c r="AF28" s="1097"/>
      <c r="AG28" s="1097"/>
      <c r="AH28" s="1097"/>
      <c r="AI28" s="1097"/>
      <c r="AJ28" s="1097"/>
      <c r="AK28" s="1097"/>
      <c r="AL28" s="1097"/>
      <c r="AM28" s="1097"/>
      <c r="AN28" s="1097"/>
      <c r="AO28" s="1097"/>
      <c r="AP28" s="1097"/>
      <c r="AQ28" s="1097"/>
      <c r="AR28" s="1097"/>
      <c r="AS28" s="1097"/>
      <c r="AT28" s="1097"/>
      <c r="AU28" s="1097"/>
      <c r="AV28" s="1097"/>
      <c r="AW28" s="1097"/>
      <c r="AX28" s="1097"/>
      <c r="AY28" s="1097"/>
      <c r="AZ28" s="1097"/>
      <c r="BA28" s="1097"/>
      <c r="BB28" s="1097"/>
      <c r="BC28" s="1097"/>
      <c r="BD28" s="1097"/>
      <c r="BE28" s="1097"/>
      <c r="BF28" s="1097"/>
      <c r="BG28" s="1097"/>
      <c r="BH28" s="1097"/>
      <c r="BI28" s="1097"/>
      <c r="BJ28" s="1097"/>
      <c r="BK28" s="1097"/>
      <c r="BL28" s="1097"/>
      <c r="BM28" s="1097"/>
      <c r="BN28" s="1097"/>
      <c r="BO28" s="1097"/>
      <c r="BP28" s="1097"/>
      <c r="BQ28" s="1097"/>
      <c r="BR28" s="1097"/>
      <c r="BS28" s="1097"/>
      <c r="BT28" s="1097"/>
      <c r="BU28" s="1097"/>
      <c r="BV28" s="1097"/>
      <c r="BW28" s="1097"/>
      <c r="BX28" s="1097"/>
      <c r="BY28" s="1097"/>
      <c r="BZ28" s="1097"/>
      <c r="CA28" s="1097"/>
      <c r="CB28" s="1097"/>
      <c r="CC28" s="1097"/>
      <c r="CD28" s="1097"/>
      <c r="CE28" s="1097"/>
      <c r="CF28" s="1097"/>
      <c r="CG28" s="1097"/>
      <c r="CH28" s="1097"/>
      <c r="CI28" s="1097"/>
      <c r="CJ28" s="1097"/>
      <c r="CK28" s="1097"/>
      <c r="CL28" s="1097"/>
      <c r="CM28" s="1097"/>
      <c r="CN28" s="1097"/>
      <c r="CO28" s="1097"/>
      <c r="CP28" s="1097"/>
      <c r="CQ28" s="1097"/>
      <c r="CR28" s="1097"/>
      <c r="CS28" s="1097"/>
      <c r="CT28" s="1097"/>
      <c r="CU28" s="1097"/>
      <c r="CV28" s="1097"/>
      <c r="CW28" s="1097"/>
      <c r="CX28" s="1097"/>
      <c r="CY28" s="1097"/>
      <c r="CZ28" s="1097"/>
      <c r="DA28" s="1097"/>
      <c r="DB28" s="1097"/>
      <c r="DC28" s="1097"/>
      <c r="DD28" s="1097"/>
      <c r="DE28" s="1097"/>
      <c r="DF28" s="1097"/>
      <c r="DG28" s="1097"/>
      <c r="DH28" s="1097"/>
      <c r="DI28" s="1097"/>
      <c r="DJ28" s="1097"/>
      <c r="DK28" s="1097"/>
      <c r="DL28" s="1097"/>
      <c r="DM28" s="1097"/>
      <c r="DN28" s="1097"/>
      <c r="DO28" s="1097"/>
      <c r="DP28" s="1097"/>
      <c r="DQ28" s="1097"/>
      <c r="DR28" s="1097"/>
      <c r="DS28" s="1097"/>
      <c r="DT28" s="1097"/>
      <c r="DU28" s="1097"/>
      <c r="DV28" s="1097"/>
      <c r="DW28" s="1097"/>
      <c r="DX28" s="1097"/>
      <c r="DY28" s="1097"/>
      <c r="DZ28" s="1097"/>
      <c r="EA28" s="1097"/>
      <c r="EB28" s="1097"/>
      <c r="EC28" s="1097"/>
      <c r="ED28" s="1097"/>
      <c r="EE28" s="1097"/>
      <c r="EF28" s="1097"/>
      <c r="EG28" s="1097"/>
      <c r="EH28" s="1097"/>
      <c r="EI28" s="1097"/>
      <c r="EJ28" s="1097"/>
      <c r="EK28" s="1097"/>
      <c r="EL28" s="1097"/>
      <c r="EM28" s="1097"/>
      <c r="EN28" s="1097"/>
      <c r="EO28" s="1097"/>
      <c r="EP28" s="1097"/>
      <c r="EQ28" s="1097"/>
      <c r="ER28" s="1097"/>
      <c r="ES28" s="1097"/>
      <c r="ET28" s="1097"/>
      <c r="EU28" s="1097"/>
      <c r="EV28" s="1097"/>
      <c r="EW28" s="1097"/>
      <c r="EX28" s="1097"/>
      <c r="EY28" s="1097"/>
      <c r="EZ28" s="1097"/>
      <c r="FA28" s="1097"/>
      <c r="FB28" s="1097"/>
      <c r="FC28" s="1097"/>
      <c r="FD28" s="1097"/>
      <c r="FE28" s="1097"/>
      <c r="FF28" s="1097"/>
      <c r="FG28" s="1097"/>
      <c r="FH28" s="1097"/>
      <c r="FI28" s="1097"/>
      <c r="FJ28" s="1097"/>
      <c r="FK28" s="1097"/>
      <c r="FL28" s="1097"/>
      <c r="FM28" s="1097"/>
      <c r="FN28" s="1097"/>
      <c r="FO28" s="1097"/>
      <c r="FP28" s="1097"/>
      <c r="FQ28" s="1097"/>
      <c r="FR28" s="1097"/>
      <c r="FS28" s="1097"/>
      <c r="FT28" s="1097"/>
      <c r="FU28" s="1097"/>
      <c r="FV28" s="1097"/>
      <c r="FW28" s="1097"/>
      <c r="FX28" s="1097"/>
      <c r="FY28" s="1097"/>
      <c r="FZ28" s="1097"/>
      <c r="GA28" s="1097"/>
      <c r="GB28" s="1097"/>
      <c r="GC28" s="1097"/>
      <c r="GD28" s="1097"/>
      <c r="GE28" s="1097"/>
      <c r="GF28" s="1097"/>
      <c r="GG28" s="1097"/>
      <c r="GH28" s="1097"/>
      <c r="GI28" s="1097"/>
      <c r="GJ28" s="1097"/>
      <c r="GK28" s="1097"/>
      <c r="GL28" s="1097"/>
      <c r="GM28" s="1097"/>
      <c r="GN28" s="1097"/>
      <c r="GO28" s="1097"/>
      <c r="GP28" s="1097"/>
      <c r="GQ28" s="1097"/>
      <c r="GR28" s="1097"/>
      <c r="GS28" s="1097"/>
      <c r="GT28" s="1097"/>
      <c r="GU28" s="1097"/>
      <c r="GV28" s="1097"/>
      <c r="GW28" s="1097"/>
      <c r="GX28" s="1097"/>
      <c r="GY28" s="1097"/>
      <c r="GZ28" s="1097"/>
      <c r="HA28" s="1097"/>
      <c r="HB28" s="1097"/>
      <c r="HC28" s="1097"/>
      <c r="HD28" s="1097"/>
      <c r="HE28" s="1097"/>
      <c r="HF28" s="1097"/>
      <c r="HG28" s="1097"/>
      <c r="HH28" s="1097"/>
      <c r="HI28" s="1097"/>
      <c r="HJ28" s="1097"/>
      <c r="HK28" s="1097"/>
      <c r="HL28" s="1097"/>
      <c r="HM28" s="1097"/>
      <c r="HN28" s="1097"/>
      <c r="HO28" s="1097"/>
      <c r="HP28" s="1097"/>
      <c r="HQ28" s="1097"/>
      <c r="HR28" s="1097"/>
      <c r="HS28" s="1097"/>
      <c r="HT28" s="1097"/>
      <c r="HU28" s="1097"/>
      <c r="HV28" s="1097"/>
      <c r="HW28" s="1097"/>
      <c r="HX28" s="1097"/>
      <c r="HY28" s="1097"/>
      <c r="HZ28" s="1097"/>
      <c r="IA28" s="1097"/>
      <c r="IB28" s="1097"/>
      <c r="IC28" s="1097"/>
      <c r="ID28" s="1097"/>
      <c r="IE28" s="1097"/>
      <c r="IF28" s="1097"/>
      <c r="IG28" s="1097"/>
      <c r="IH28" s="1097"/>
      <c r="II28" s="1097"/>
      <c r="IJ28" s="1097"/>
      <c r="IK28" s="1097"/>
      <c r="IL28" s="1097"/>
      <c r="IM28" s="1097"/>
      <c r="IN28" s="1097"/>
      <c r="IO28" s="1097"/>
      <c r="IP28" s="1097"/>
      <c r="IQ28" s="1097"/>
      <c r="IR28" s="1097"/>
      <c r="IS28" s="1097"/>
      <c r="IT28" s="1097"/>
      <c r="IU28" s="1097"/>
      <c r="IV28" s="1097"/>
    </row>
    <row r="30" spans="1:256" s="1093" customFormat="1" ht="12.75" customHeight="1">
      <c r="A30" s="2239" t="s">
        <v>1684</v>
      </c>
      <c r="B30" s="2239"/>
      <c r="C30" s="2239"/>
      <c r="D30" s="2239"/>
      <c r="E30" s="2239"/>
      <c r="F30" s="2239"/>
    </row>
    <row r="31" spans="1:256" s="1093" customFormat="1" ht="38.25" customHeight="1">
      <c r="A31" s="2387" t="s">
        <v>1685</v>
      </c>
      <c r="B31" s="2387"/>
      <c r="C31" s="2387"/>
      <c r="D31" s="2387"/>
      <c r="E31" s="2387"/>
      <c r="F31" s="2387"/>
    </row>
    <row r="33" spans="1:256" s="1098" customFormat="1" ht="12.75" customHeight="1">
      <c r="A33" s="2239" t="s">
        <v>1686</v>
      </c>
      <c r="B33" s="2239"/>
      <c r="C33" s="2239"/>
      <c r="D33" s="2239"/>
      <c r="E33" s="2239"/>
      <c r="F33" s="2239"/>
      <c r="G33" s="1097"/>
      <c r="H33" s="1097"/>
      <c r="I33" s="1097"/>
      <c r="J33" s="1097"/>
      <c r="K33" s="1097"/>
      <c r="L33" s="1097"/>
      <c r="M33" s="1097"/>
      <c r="N33" s="1097"/>
      <c r="O33" s="1097"/>
      <c r="P33" s="1097"/>
      <c r="Q33" s="1097"/>
      <c r="R33" s="1097"/>
      <c r="S33" s="1097"/>
      <c r="T33" s="1097"/>
      <c r="U33" s="1097"/>
      <c r="V33" s="1097"/>
      <c r="W33" s="1097"/>
      <c r="X33" s="1097"/>
      <c r="Y33" s="1097"/>
      <c r="Z33" s="1097"/>
      <c r="AA33" s="1097"/>
      <c r="AB33" s="1097"/>
      <c r="AC33" s="1097"/>
      <c r="AD33" s="1097"/>
      <c r="AE33" s="1097"/>
      <c r="AF33" s="1097"/>
      <c r="AG33" s="1097"/>
      <c r="AH33" s="1097"/>
      <c r="AI33" s="1097"/>
      <c r="AJ33" s="1097"/>
      <c r="AK33" s="1097"/>
      <c r="AL33" s="1097"/>
      <c r="AM33" s="1097"/>
      <c r="AN33" s="1097"/>
      <c r="AO33" s="1097"/>
      <c r="AP33" s="1097"/>
      <c r="AQ33" s="1097"/>
      <c r="AR33" s="1097"/>
      <c r="AS33" s="1097"/>
      <c r="AT33" s="1097"/>
      <c r="AU33" s="1097"/>
      <c r="AV33" s="1097"/>
      <c r="AW33" s="1097"/>
      <c r="AX33" s="1097"/>
      <c r="AY33" s="1097"/>
      <c r="AZ33" s="1097"/>
      <c r="BA33" s="1097"/>
      <c r="BB33" s="1097"/>
      <c r="BC33" s="1097"/>
      <c r="BD33" s="1097"/>
      <c r="BE33" s="1097"/>
      <c r="BF33" s="1097"/>
      <c r="BG33" s="1097"/>
      <c r="BH33" s="1097"/>
      <c r="BI33" s="1097"/>
      <c r="BJ33" s="1097"/>
      <c r="BK33" s="1097"/>
      <c r="BL33" s="1097"/>
      <c r="BM33" s="1097"/>
      <c r="BN33" s="1097"/>
      <c r="BO33" s="1097"/>
      <c r="BP33" s="1097"/>
      <c r="BQ33" s="1097"/>
      <c r="BR33" s="1097"/>
      <c r="BS33" s="1097"/>
      <c r="BT33" s="1097"/>
      <c r="BU33" s="1097"/>
      <c r="BV33" s="1097"/>
      <c r="BW33" s="1097"/>
      <c r="BX33" s="1097"/>
      <c r="BY33" s="1097"/>
      <c r="BZ33" s="1097"/>
      <c r="CA33" s="1097"/>
      <c r="CB33" s="1097"/>
      <c r="CC33" s="1097"/>
      <c r="CD33" s="1097"/>
      <c r="CE33" s="1097"/>
      <c r="CF33" s="1097"/>
      <c r="CG33" s="1097"/>
      <c r="CH33" s="1097"/>
      <c r="CI33" s="1097"/>
      <c r="CJ33" s="1097"/>
      <c r="CK33" s="1097"/>
      <c r="CL33" s="1097"/>
      <c r="CM33" s="1097"/>
      <c r="CN33" s="1097"/>
      <c r="CO33" s="1097"/>
      <c r="CP33" s="1097"/>
      <c r="CQ33" s="1097"/>
      <c r="CR33" s="1097"/>
      <c r="CS33" s="1097"/>
      <c r="CT33" s="1097"/>
      <c r="CU33" s="1097"/>
      <c r="CV33" s="1097"/>
      <c r="CW33" s="1097"/>
      <c r="CX33" s="1097"/>
      <c r="CY33" s="1097"/>
      <c r="CZ33" s="1097"/>
      <c r="DA33" s="1097"/>
      <c r="DB33" s="1097"/>
      <c r="DC33" s="1097"/>
      <c r="DD33" s="1097"/>
      <c r="DE33" s="1097"/>
      <c r="DF33" s="1097"/>
      <c r="DG33" s="1097"/>
      <c r="DH33" s="1097"/>
      <c r="DI33" s="1097"/>
      <c r="DJ33" s="1097"/>
      <c r="DK33" s="1097"/>
      <c r="DL33" s="1097"/>
      <c r="DM33" s="1097"/>
      <c r="DN33" s="1097"/>
      <c r="DO33" s="1097"/>
      <c r="DP33" s="1097"/>
      <c r="DQ33" s="1097"/>
      <c r="DR33" s="1097"/>
      <c r="DS33" s="1097"/>
      <c r="DT33" s="1097"/>
      <c r="DU33" s="1097"/>
      <c r="DV33" s="1097"/>
      <c r="DW33" s="1097"/>
      <c r="DX33" s="1097"/>
      <c r="DY33" s="1097"/>
      <c r="DZ33" s="1097"/>
      <c r="EA33" s="1097"/>
      <c r="EB33" s="1097"/>
      <c r="EC33" s="1097"/>
      <c r="ED33" s="1097"/>
      <c r="EE33" s="1097"/>
      <c r="EF33" s="1097"/>
      <c r="EG33" s="1097"/>
      <c r="EH33" s="1097"/>
      <c r="EI33" s="1097"/>
      <c r="EJ33" s="1097"/>
      <c r="EK33" s="1097"/>
      <c r="EL33" s="1097"/>
      <c r="EM33" s="1097"/>
      <c r="EN33" s="1097"/>
      <c r="EO33" s="1097"/>
      <c r="EP33" s="1097"/>
      <c r="EQ33" s="1097"/>
      <c r="ER33" s="1097"/>
      <c r="ES33" s="1097"/>
      <c r="ET33" s="1097"/>
      <c r="EU33" s="1097"/>
      <c r="EV33" s="1097"/>
      <c r="EW33" s="1097"/>
      <c r="EX33" s="1097"/>
      <c r="EY33" s="1097"/>
      <c r="EZ33" s="1097"/>
      <c r="FA33" s="1097"/>
      <c r="FB33" s="1097"/>
      <c r="FC33" s="1097"/>
      <c r="FD33" s="1097"/>
      <c r="FE33" s="1097"/>
      <c r="FF33" s="1097"/>
      <c r="FG33" s="1097"/>
      <c r="FH33" s="1097"/>
      <c r="FI33" s="1097"/>
      <c r="FJ33" s="1097"/>
      <c r="FK33" s="1097"/>
      <c r="FL33" s="1097"/>
      <c r="FM33" s="1097"/>
      <c r="FN33" s="1097"/>
      <c r="FO33" s="1097"/>
      <c r="FP33" s="1097"/>
      <c r="FQ33" s="1097"/>
      <c r="FR33" s="1097"/>
      <c r="FS33" s="1097"/>
      <c r="FT33" s="1097"/>
      <c r="FU33" s="1097"/>
      <c r="FV33" s="1097"/>
      <c r="FW33" s="1097"/>
      <c r="FX33" s="1097"/>
      <c r="FY33" s="1097"/>
      <c r="FZ33" s="1097"/>
      <c r="GA33" s="1097"/>
      <c r="GB33" s="1097"/>
      <c r="GC33" s="1097"/>
      <c r="GD33" s="1097"/>
      <c r="GE33" s="1097"/>
      <c r="GF33" s="1097"/>
      <c r="GG33" s="1097"/>
      <c r="GH33" s="1097"/>
      <c r="GI33" s="1097"/>
      <c r="GJ33" s="1097"/>
      <c r="GK33" s="1097"/>
      <c r="GL33" s="1097"/>
      <c r="GM33" s="1097"/>
      <c r="GN33" s="1097"/>
      <c r="GO33" s="1097"/>
      <c r="GP33" s="1097"/>
      <c r="GQ33" s="1097"/>
      <c r="GR33" s="1097"/>
      <c r="GS33" s="1097"/>
      <c r="GT33" s="1097"/>
      <c r="GU33" s="1097"/>
      <c r="GV33" s="1097"/>
      <c r="GW33" s="1097"/>
      <c r="GX33" s="1097"/>
      <c r="GY33" s="1097"/>
      <c r="GZ33" s="1097"/>
      <c r="HA33" s="1097"/>
      <c r="HB33" s="1097"/>
      <c r="HC33" s="1097"/>
      <c r="HD33" s="1097"/>
      <c r="HE33" s="1097"/>
      <c r="HF33" s="1097"/>
      <c r="HG33" s="1097"/>
      <c r="HH33" s="1097"/>
      <c r="HI33" s="1097"/>
      <c r="HJ33" s="1097"/>
      <c r="HK33" s="1097"/>
      <c r="HL33" s="1097"/>
      <c r="HM33" s="1097"/>
      <c r="HN33" s="1097"/>
      <c r="HO33" s="1097"/>
      <c r="HP33" s="1097"/>
      <c r="HQ33" s="1097"/>
      <c r="HR33" s="1097"/>
      <c r="HS33" s="1097"/>
      <c r="HT33" s="1097"/>
      <c r="HU33" s="1097"/>
      <c r="HV33" s="1097"/>
      <c r="HW33" s="1097"/>
      <c r="HX33" s="1097"/>
      <c r="HY33" s="1097"/>
      <c r="HZ33" s="1097"/>
      <c r="IA33" s="1097"/>
      <c r="IB33" s="1097"/>
      <c r="IC33" s="1097"/>
      <c r="ID33" s="1097"/>
      <c r="IE33" s="1097"/>
      <c r="IF33" s="1097"/>
      <c r="IG33" s="1097"/>
      <c r="IH33" s="1097"/>
      <c r="II33" s="1097"/>
      <c r="IJ33" s="1097"/>
      <c r="IK33" s="1097"/>
      <c r="IL33" s="1097"/>
      <c r="IM33" s="1097"/>
      <c r="IN33" s="1097"/>
      <c r="IO33" s="1097"/>
      <c r="IP33" s="1097"/>
      <c r="IQ33" s="1097"/>
      <c r="IR33" s="1097"/>
      <c r="IS33" s="1097"/>
      <c r="IT33" s="1097"/>
      <c r="IU33" s="1097"/>
      <c r="IV33" s="1097"/>
    </row>
    <row r="34" spans="1:256" s="1098" customFormat="1">
      <c r="A34" s="1100" t="s">
        <v>1687</v>
      </c>
      <c r="B34" s="1097"/>
      <c r="C34" s="1097"/>
      <c r="D34" s="1097"/>
      <c r="E34" s="1097"/>
      <c r="F34" s="1097"/>
      <c r="G34" s="1097"/>
      <c r="H34" s="1097"/>
      <c r="I34" s="1097"/>
      <c r="J34" s="1097"/>
      <c r="K34" s="1097"/>
      <c r="L34" s="1097"/>
      <c r="M34" s="1097"/>
      <c r="N34" s="1097"/>
      <c r="O34" s="1097"/>
      <c r="P34" s="1097"/>
      <c r="Q34" s="1097"/>
      <c r="R34" s="1097"/>
      <c r="S34" s="1097"/>
      <c r="T34" s="1097"/>
      <c r="U34" s="1097"/>
      <c r="V34" s="1097"/>
      <c r="W34" s="1097"/>
      <c r="X34" s="1097"/>
      <c r="Y34" s="1097"/>
      <c r="Z34" s="1097"/>
      <c r="AA34" s="1097"/>
      <c r="AB34" s="1097"/>
      <c r="AC34" s="1097"/>
      <c r="AD34" s="1097"/>
      <c r="AE34" s="1097"/>
      <c r="AF34" s="1097"/>
      <c r="AG34" s="1097"/>
      <c r="AH34" s="1097"/>
      <c r="AI34" s="1097"/>
      <c r="AJ34" s="1097"/>
      <c r="AK34" s="1097"/>
      <c r="AL34" s="1097"/>
      <c r="AM34" s="1097"/>
      <c r="AN34" s="1097"/>
      <c r="AO34" s="1097"/>
      <c r="AP34" s="1097"/>
      <c r="AQ34" s="1097"/>
      <c r="AR34" s="1097"/>
      <c r="AS34" s="1097"/>
      <c r="AT34" s="1097"/>
      <c r="AU34" s="1097"/>
      <c r="AV34" s="1097"/>
      <c r="AW34" s="1097"/>
      <c r="AX34" s="1097"/>
      <c r="AY34" s="1097"/>
      <c r="AZ34" s="1097"/>
      <c r="BA34" s="1097"/>
      <c r="BB34" s="1097"/>
      <c r="BC34" s="1097"/>
      <c r="BD34" s="1097"/>
      <c r="BE34" s="1097"/>
      <c r="BF34" s="1097"/>
      <c r="BG34" s="1097"/>
      <c r="BH34" s="1097"/>
      <c r="BI34" s="1097"/>
      <c r="BJ34" s="1097"/>
      <c r="BK34" s="1097"/>
      <c r="BL34" s="1097"/>
      <c r="BM34" s="1097"/>
      <c r="BN34" s="1097"/>
      <c r="BO34" s="1097"/>
      <c r="BP34" s="1097"/>
      <c r="BQ34" s="1097"/>
      <c r="BR34" s="1097"/>
      <c r="BS34" s="1097"/>
      <c r="BT34" s="1097"/>
      <c r="BU34" s="1097"/>
      <c r="BV34" s="1097"/>
      <c r="BW34" s="1097"/>
      <c r="BX34" s="1097"/>
      <c r="BY34" s="1097"/>
      <c r="BZ34" s="1097"/>
      <c r="CA34" s="1097"/>
      <c r="CB34" s="1097"/>
      <c r="CC34" s="1097"/>
      <c r="CD34" s="1097"/>
      <c r="CE34" s="1097"/>
      <c r="CF34" s="1097"/>
      <c r="CG34" s="1097"/>
      <c r="CH34" s="1097"/>
      <c r="CI34" s="1097"/>
      <c r="CJ34" s="1097"/>
      <c r="CK34" s="1097"/>
      <c r="CL34" s="1097"/>
      <c r="CM34" s="1097"/>
      <c r="CN34" s="1097"/>
      <c r="CO34" s="1097"/>
      <c r="CP34" s="1097"/>
      <c r="CQ34" s="1097"/>
      <c r="CR34" s="1097"/>
      <c r="CS34" s="1097"/>
      <c r="CT34" s="1097"/>
      <c r="CU34" s="1097"/>
      <c r="CV34" s="1097"/>
      <c r="CW34" s="1097"/>
      <c r="CX34" s="1097"/>
      <c r="CY34" s="1097"/>
      <c r="CZ34" s="1097"/>
      <c r="DA34" s="1097"/>
      <c r="DB34" s="1097"/>
      <c r="DC34" s="1097"/>
      <c r="DD34" s="1097"/>
      <c r="DE34" s="1097"/>
      <c r="DF34" s="1097"/>
      <c r="DG34" s="1097"/>
      <c r="DH34" s="1097"/>
      <c r="DI34" s="1097"/>
      <c r="DJ34" s="1097"/>
      <c r="DK34" s="1097"/>
      <c r="DL34" s="1097"/>
      <c r="DM34" s="1097"/>
      <c r="DN34" s="1097"/>
      <c r="DO34" s="1097"/>
      <c r="DP34" s="1097"/>
      <c r="DQ34" s="1097"/>
      <c r="DR34" s="1097"/>
      <c r="DS34" s="1097"/>
      <c r="DT34" s="1097"/>
      <c r="DU34" s="1097"/>
      <c r="DV34" s="1097"/>
      <c r="DW34" s="1097"/>
      <c r="DX34" s="1097"/>
      <c r="DY34" s="1097"/>
      <c r="DZ34" s="1097"/>
      <c r="EA34" s="1097"/>
      <c r="EB34" s="1097"/>
      <c r="EC34" s="1097"/>
      <c r="ED34" s="1097"/>
      <c r="EE34" s="1097"/>
      <c r="EF34" s="1097"/>
      <c r="EG34" s="1097"/>
      <c r="EH34" s="1097"/>
      <c r="EI34" s="1097"/>
      <c r="EJ34" s="1097"/>
      <c r="EK34" s="1097"/>
      <c r="EL34" s="1097"/>
      <c r="EM34" s="1097"/>
      <c r="EN34" s="1097"/>
      <c r="EO34" s="1097"/>
      <c r="EP34" s="1097"/>
      <c r="EQ34" s="1097"/>
      <c r="ER34" s="1097"/>
      <c r="ES34" s="1097"/>
      <c r="ET34" s="1097"/>
      <c r="EU34" s="1097"/>
      <c r="EV34" s="1097"/>
      <c r="EW34" s="1097"/>
      <c r="EX34" s="1097"/>
      <c r="EY34" s="1097"/>
      <c r="EZ34" s="1097"/>
      <c r="FA34" s="1097"/>
      <c r="FB34" s="1097"/>
      <c r="FC34" s="1097"/>
      <c r="FD34" s="1097"/>
      <c r="FE34" s="1097"/>
      <c r="FF34" s="1097"/>
      <c r="FG34" s="1097"/>
      <c r="FH34" s="1097"/>
      <c r="FI34" s="1097"/>
      <c r="FJ34" s="1097"/>
      <c r="FK34" s="1097"/>
      <c r="FL34" s="1097"/>
      <c r="FM34" s="1097"/>
      <c r="FN34" s="1097"/>
      <c r="FO34" s="1097"/>
      <c r="FP34" s="1097"/>
      <c r="FQ34" s="1097"/>
      <c r="FR34" s="1097"/>
      <c r="FS34" s="1097"/>
      <c r="FT34" s="1097"/>
      <c r="FU34" s="1097"/>
      <c r="FV34" s="1097"/>
      <c r="FW34" s="1097"/>
      <c r="FX34" s="1097"/>
      <c r="FY34" s="1097"/>
      <c r="FZ34" s="1097"/>
      <c r="GA34" s="1097"/>
      <c r="GB34" s="1097"/>
      <c r="GC34" s="1097"/>
      <c r="GD34" s="1097"/>
      <c r="GE34" s="1097"/>
      <c r="GF34" s="1097"/>
      <c r="GG34" s="1097"/>
      <c r="GH34" s="1097"/>
      <c r="GI34" s="1097"/>
      <c r="GJ34" s="1097"/>
      <c r="GK34" s="1097"/>
      <c r="GL34" s="1097"/>
      <c r="GM34" s="1097"/>
      <c r="GN34" s="1097"/>
      <c r="GO34" s="1097"/>
      <c r="GP34" s="1097"/>
      <c r="GQ34" s="1097"/>
      <c r="GR34" s="1097"/>
      <c r="GS34" s="1097"/>
      <c r="GT34" s="1097"/>
      <c r="GU34" s="1097"/>
      <c r="GV34" s="1097"/>
      <c r="GW34" s="1097"/>
      <c r="GX34" s="1097"/>
      <c r="GY34" s="1097"/>
      <c r="GZ34" s="1097"/>
      <c r="HA34" s="1097"/>
      <c r="HB34" s="1097"/>
      <c r="HC34" s="1097"/>
      <c r="HD34" s="1097"/>
      <c r="HE34" s="1097"/>
      <c r="HF34" s="1097"/>
      <c r="HG34" s="1097"/>
      <c r="HH34" s="1097"/>
      <c r="HI34" s="1097"/>
      <c r="HJ34" s="1097"/>
      <c r="HK34" s="1097"/>
      <c r="HL34" s="1097"/>
      <c r="HM34" s="1097"/>
      <c r="HN34" s="1097"/>
      <c r="HO34" s="1097"/>
      <c r="HP34" s="1097"/>
      <c r="HQ34" s="1097"/>
      <c r="HR34" s="1097"/>
      <c r="HS34" s="1097"/>
      <c r="HT34" s="1097"/>
      <c r="HU34" s="1097"/>
      <c r="HV34" s="1097"/>
      <c r="HW34" s="1097"/>
      <c r="HX34" s="1097"/>
      <c r="HY34" s="1097"/>
      <c r="HZ34" s="1097"/>
      <c r="IA34" s="1097"/>
      <c r="IB34" s="1097"/>
      <c r="IC34" s="1097"/>
      <c r="ID34" s="1097"/>
      <c r="IE34" s="1097"/>
      <c r="IF34" s="1097"/>
      <c r="IG34" s="1097"/>
      <c r="IH34" s="1097"/>
      <c r="II34" s="1097"/>
      <c r="IJ34" s="1097"/>
      <c r="IK34" s="1097"/>
      <c r="IL34" s="1097"/>
      <c r="IM34" s="1097"/>
      <c r="IN34" s="1097"/>
      <c r="IO34" s="1097"/>
      <c r="IP34" s="1097"/>
      <c r="IQ34" s="1097"/>
      <c r="IR34" s="1097"/>
      <c r="IS34" s="1097"/>
      <c r="IT34" s="1097"/>
      <c r="IU34" s="1097"/>
      <c r="IV34" s="1097"/>
    </row>
  </sheetData>
  <sheetProtection algorithmName="SHA-512" hashValue="+aZ53Ky1rVyfG512VqKzL32n6AMzeuQB1REdoHx84bFj/qqw7ZofbsBbWiN46hEVqKqSFyvS00xEtsUTr9lQcA==" saltValue="398IKZc9DDmecPXGf8tCOg==" spinCount="100000" sheet="1" objects="1" scenarios="1"/>
  <mergeCells count="19">
    <mergeCell ref="C1:D1"/>
    <mergeCell ref="A3:F3"/>
    <mergeCell ref="A6:F6"/>
    <mergeCell ref="A5:F5"/>
    <mergeCell ref="A16:F16"/>
    <mergeCell ref="A9:E9"/>
    <mergeCell ref="A11:F11"/>
    <mergeCell ref="A12:E12"/>
    <mergeCell ref="A14:F14"/>
    <mergeCell ref="A18:F18"/>
    <mergeCell ref="A33:F33"/>
    <mergeCell ref="A24:F24"/>
    <mergeCell ref="A25:F25"/>
    <mergeCell ref="A26:F26"/>
    <mergeCell ref="A28:F28"/>
    <mergeCell ref="A30:F30"/>
    <mergeCell ref="A31:F31"/>
    <mergeCell ref="A21:F21"/>
    <mergeCell ref="A23:F23"/>
  </mergeCell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85" firstPageNumber="0" orientation="portrait" r:id="rId1"/>
  <headerFooter alignWithMargins="0">
    <oddFooter>&amp;LRSU 2020 - Présentation au CTP&amp;R&amp;P/&amp;N
&amp;A</oddFooter>
  </headerFooter>
</worksheet>
</file>

<file path=xl/worksheets/sheet36.xml><?xml version="1.0" encoding="utf-8"?>
<worksheet xmlns="http://schemas.openxmlformats.org/spreadsheetml/2006/main" xmlns:r="http://schemas.openxmlformats.org/officeDocument/2006/relationships">
  <sheetPr codeName="Feuil28">
    <pageSetUpPr fitToPage="1"/>
  </sheetPr>
  <dimension ref="A1:L53"/>
  <sheetViews>
    <sheetView showGridLines="0" workbookViewId="0"/>
  </sheetViews>
  <sheetFormatPr baseColWidth="10" defaultColWidth="10.85546875" defaultRowHeight="12.75" customHeight="1"/>
  <cols>
    <col min="1" max="1" width="54.42578125" customWidth="1"/>
    <col min="2" max="7" width="12" customWidth="1"/>
    <col min="10" max="10" width="13.140625" customWidth="1"/>
  </cols>
  <sheetData>
    <row r="1" spans="1:12" ht="17.100000000000001" customHeight="1">
      <c r="C1" s="2245" t="s">
        <v>958</v>
      </c>
      <c r="D1" s="2245"/>
    </row>
    <row r="2" spans="1:12" ht="13.5" thickBot="1"/>
    <row r="3" spans="1:12" ht="13.5" thickBot="1">
      <c r="A3" s="2248" t="s">
        <v>2498</v>
      </c>
      <c r="B3" s="2248"/>
      <c r="C3" s="2248"/>
      <c r="D3" s="2248"/>
      <c r="E3" s="2248"/>
      <c r="F3" s="2248"/>
      <c r="G3" s="2248"/>
      <c r="H3" s="2479"/>
      <c r="I3" s="2479"/>
      <c r="J3" s="2479"/>
      <c r="K3" s="2479"/>
      <c r="L3" s="414"/>
    </row>
    <row r="6" spans="1:12" ht="12.75" customHeight="1">
      <c r="A6" s="2250" t="s">
        <v>2408</v>
      </c>
      <c r="B6" s="2250"/>
      <c r="C6" s="2250"/>
      <c r="D6" s="2250"/>
      <c r="E6" s="2250"/>
      <c r="F6" s="2250"/>
      <c r="G6" s="2250"/>
      <c r="H6" s="2250"/>
      <c r="I6" s="2250"/>
      <c r="J6" s="2289"/>
      <c r="K6" s="2289"/>
      <c r="L6" s="9"/>
    </row>
    <row r="8" spans="1:12" ht="12.75" customHeight="1">
      <c r="A8" s="9" t="s">
        <v>701</v>
      </c>
    </row>
    <row r="9" spans="1:12" ht="34.5" customHeight="1">
      <c r="A9" s="2255" t="s">
        <v>2409</v>
      </c>
      <c r="B9" s="2252" t="s">
        <v>962</v>
      </c>
      <c r="C9" s="2253"/>
      <c r="D9" s="2253"/>
      <c r="E9" s="2253"/>
      <c r="F9" s="2253"/>
      <c r="G9" s="2253"/>
      <c r="H9" s="2253"/>
      <c r="I9" s="2253"/>
      <c r="J9" s="2253"/>
      <c r="K9" s="2254"/>
    </row>
    <row r="10" spans="1:12" ht="12.75" customHeight="1">
      <c r="A10" s="2255"/>
      <c r="B10" s="2256" t="s">
        <v>703</v>
      </c>
      <c r="C10" s="2256"/>
      <c r="D10" s="2247" t="s">
        <v>704</v>
      </c>
      <c r="E10" s="2247"/>
      <c r="F10" s="2247" t="s">
        <v>1323</v>
      </c>
      <c r="G10" s="2247"/>
      <c r="H10" s="2247" t="s">
        <v>705</v>
      </c>
      <c r="I10" s="2247"/>
      <c r="J10" s="2247" t="s">
        <v>706</v>
      </c>
      <c r="K10" s="2247"/>
    </row>
    <row r="11" spans="1:12" ht="15.75" customHeight="1">
      <c r="A11" s="2255"/>
      <c r="B11" s="59" t="s">
        <v>707</v>
      </c>
      <c r="C11" s="59" t="s">
        <v>708</v>
      </c>
      <c r="D11" s="59" t="s">
        <v>707</v>
      </c>
      <c r="E11" s="59" t="s">
        <v>708</v>
      </c>
      <c r="F11" s="59" t="s">
        <v>707</v>
      </c>
      <c r="G11" s="59" t="s">
        <v>708</v>
      </c>
      <c r="H11" s="59" t="s">
        <v>707</v>
      </c>
      <c r="I11" s="59" t="s">
        <v>708</v>
      </c>
      <c r="J11" s="59" t="s">
        <v>707</v>
      </c>
      <c r="K11" s="59" t="s">
        <v>708</v>
      </c>
    </row>
    <row r="12" spans="1:12">
      <c r="A12" s="60" t="s">
        <v>709</v>
      </c>
      <c r="B12" s="1191">
        <v>1</v>
      </c>
      <c r="C12" s="1190">
        <v>2</v>
      </c>
      <c r="D12" s="1191">
        <v>1</v>
      </c>
      <c r="E12" s="1190">
        <v>2</v>
      </c>
      <c r="F12" s="1190">
        <v>1</v>
      </c>
      <c r="G12" s="1190">
        <v>2</v>
      </c>
      <c r="H12" s="1191">
        <v>1</v>
      </c>
      <c r="I12" s="1190">
        <v>2</v>
      </c>
      <c r="J12" s="1191">
        <v>1</v>
      </c>
      <c r="K12" s="1190">
        <v>2</v>
      </c>
      <c r="L12" s="1190" t="s">
        <v>1741</v>
      </c>
    </row>
    <row r="13" spans="1:12">
      <c r="A13" s="62" t="s">
        <v>1295</v>
      </c>
      <c r="B13" s="564"/>
      <c r="C13" s="564"/>
      <c r="D13" s="564"/>
      <c r="E13" s="564"/>
      <c r="F13" s="564"/>
      <c r="G13" s="564"/>
      <c r="H13" s="564"/>
      <c r="I13" s="564"/>
      <c r="J13" s="564"/>
      <c r="K13" s="564"/>
      <c r="L13" s="1188" t="s">
        <v>1296</v>
      </c>
    </row>
    <row r="14" spans="1:12">
      <c r="A14" s="62" t="s">
        <v>1297</v>
      </c>
      <c r="B14" s="564"/>
      <c r="C14" s="564"/>
      <c r="D14" s="564"/>
      <c r="E14" s="564"/>
      <c r="F14" s="564"/>
      <c r="G14" s="564"/>
      <c r="H14" s="564"/>
      <c r="I14" s="564"/>
      <c r="J14" s="564"/>
      <c r="K14" s="564"/>
      <c r="L14" s="1188" t="s">
        <v>1298</v>
      </c>
    </row>
    <row r="15" spans="1:12">
      <c r="A15" s="63" t="s">
        <v>1299</v>
      </c>
    </row>
    <row r="16" spans="1:12">
      <c r="A16" s="62" t="s">
        <v>1300</v>
      </c>
      <c r="B16" s="564">
        <v>0</v>
      </c>
      <c r="C16" s="564">
        <v>0</v>
      </c>
      <c r="D16" s="564">
        <v>0</v>
      </c>
      <c r="E16" s="564">
        <v>0</v>
      </c>
      <c r="F16" s="564">
        <v>1</v>
      </c>
      <c r="G16" s="564">
        <v>0</v>
      </c>
      <c r="H16" s="564">
        <v>0</v>
      </c>
      <c r="I16" s="564">
        <v>0</v>
      </c>
      <c r="J16" s="564">
        <v>0</v>
      </c>
      <c r="K16" s="564">
        <v>0</v>
      </c>
      <c r="L16" s="1188" t="s">
        <v>1301</v>
      </c>
    </row>
    <row r="17" spans="1:12" ht="12.75" customHeight="1">
      <c r="A17" s="62" t="s">
        <v>1302</v>
      </c>
      <c r="B17" s="585"/>
      <c r="C17" s="585"/>
      <c r="D17" s="585"/>
      <c r="E17" s="585"/>
      <c r="F17" s="585"/>
      <c r="G17" s="585"/>
      <c r="H17" s="585"/>
      <c r="I17" s="585"/>
      <c r="J17" s="585"/>
      <c r="K17" s="585"/>
      <c r="L17" s="1188" t="s">
        <v>1303</v>
      </c>
    </row>
    <row r="18" spans="1:12" ht="12.75" customHeight="1">
      <c r="A18" s="63" t="s">
        <v>1435</v>
      </c>
    </row>
    <row r="19" spans="1:12">
      <c r="A19" s="62" t="s">
        <v>876</v>
      </c>
      <c r="B19" s="586"/>
      <c r="C19" s="586"/>
      <c r="D19" s="586"/>
      <c r="E19" s="586"/>
      <c r="F19" s="586"/>
      <c r="G19" s="586"/>
      <c r="H19" s="586"/>
      <c r="I19" s="586"/>
      <c r="J19" s="586"/>
      <c r="K19" s="586"/>
      <c r="L19" s="1189" t="s">
        <v>1762</v>
      </c>
    </row>
    <row r="20" spans="1:12">
      <c r="A20" s="62" t="s">
        <v>877</v>
      </c>
      <c r="B20" s="567"/>
      <c r="C20" s="567"/>
      <c r="D20" s="567"/>
      <c r="E20" s="567"/>
      <c r="F20" s="567"/>
      <c r="G20" s="567"/>
      <c r="H20" s="567"/>
      <c r="I20" s="567"/>
      <c r="J20" s="567"/>
      <c r="K20" s="567"/>
      <c r="L20" s="1189" t="s">
        <v>1763</v>
      </c>
    </row>
    <row r="21" spans="1:12">
      <c r="A21" s="482" t="s">
        <v>1304</v>
      </c>
      <c r="B21" s="483">
        <f>B13+B14+B16+B17+B19+B20</f>
        <v>0</v>
      </c>
      <c r="C21" s="483">
        <f t="shared" ref="C21:K21" si="0">C13+C14+C16+C17+C19+C20</f>
        <v>0</v>
      </c>
      <c r="D21" s="483">
        <f t="shared" si="0"/>
        <v>0</v>
      </c>
      <c r="E21" s="483">
        <f t="shared" si="0"/>
        <v>0</v>
      </c>
      <c r="F21" s="483">
        <f t="shared" si="0"/>
        <v>1</v>
      </c>
      <c r="G21" s="483">
        <f t="shared" si="0"/>
        <v>0</v>
      </c>
      <c r="H21" s="483">
        <f t="shared" si="0"/>
        <v>0</v>
      </c>
      <c r="I21" s="483">
        <f t="shared" si="0"/>
        <v>0</v>
      </c>
      <c r="J21" s="483">
        <f t="shared" si="0"/>
        <v>0</v>
      </c>
      <c r="K21" s="483">
        <f t="shared" si="0"/>
        <v>0</v>
      </c>
      <c r="L21" s="1189" t="s">
        <v>1305</v>
      </c>
    </row>
    <row r="22" spans="1:12" ht="12.75" customHeight="1">
      <c r="A22" s="414"/>
      <c r="B22" s="1190">
        <v>1</v>
      </c>
      <c r="C22" s="1190">
        <v>1</v>
      </c>
      <c r="D22" s="1190">
        <v>2</v>
      </c>
      <c r="E22" s="1190">
        <v>2</v>
      </c>
      <c r="F22" s="1190">
        <v>3</v>
      </c>
      <c r="G22" s="1190">
        <v>3</v>
      </c>
      <c r="H22" s="1190">
        <v>4</v>
      </c>
      <c r="I22" s="1190">
        <v>4</v>
      </c>
      <c r="J22" s="1190">
        <v>5</v>
      </c>
      <c r="K22" s="1190">
        <v>5</v>
      </c>
      <c r="L22" s="1190" t="s">
        <v>1306</v>
      </c>
    </row>
    <row r="24" spans="1:12">
      <c r="A24" s="9" t="s">
        <v>702</v>
      </c>
    </row>
    <row r="25" spans="1:12">
      <c r="A25" s="2252" t="s">
        <v>2409</v>
      </c>
      <c r="B25" s="2477" t="s">
        <v>1308</v>
      </c>
      <c r="C25" s="2478"/>
      <c r="D25" s="2478"/>
      <c r="E25" s="2478"/>
      <c r="F25" s="2478"/>
      <c r="G25" s="2478"/>
      <c r="H25" s="2478"/>
      <c r="I25" s="2478"/>
      <c r="J25" s="2478"/>
      <c r="K25" s="2478"/>
    </row>
    <row r="26" spans="1:12">
      <c r="A26" s="2255"/>
      <c r="B26" s="2256" t="s">
        <v>703</v>
      </c>
      <c r="C26" s="2256"/>
      <c r="D26" s="2256" t="s">
        <v>704</v>
      </c>
      <c r="E26" s="2256"/>
      <c r="F26" s="2247" t="s">
        <v>1323</v>
      </c>
      <c r="G26" s="2247"/>
      <c r="H26" s="2247" t="s">
        <v>705</v>
      </c>
      <c r="I26" s="2247"/>
      <c r="J26" s="2247" t="s">
        <v>706</v>
      </c>
      <c r="K26" s="2247"/>
    </row>
    <row r="27" spans="1:12">
      <c r="A27" s="2255"/>
      <c r="B27" s="59" t="s">
        <v>707</v>
      </c>
      <c r="C27" s="59" t="s">
        <v>708</v>
      </c>
      <c r="D27" s="59" t="s">
        <v>707</v>
      </c>
      <c r="E27" s="59" t="s">
        <v>708</v>
      </c>
      <c r="F27" s="59" t="s">
        <v>707</v>
      </c>
      <c r="G27" s="59" t="s">
        <v>708</v>
      </c>
      <c r="H27" s="59" t="s">
        <v>707</v>
      </c>
      <c r="I27" s="59" t="s">
        <v>708</v>
      </c>
      <c r="J27" s="59" t="s">
        <v>707</v>
      </c>
      <c r="K27" s="59" t="s">
        <v>708</v>
      </c>
    </row>
    <row r="28" spans="1:12">
      <c r="A28" s="60" t="s">
        <v>709</v>
      </c>
      <c r="B28" s="1191">
        <v>1</v>
      </c>
      <c r="C28" s="1190">
        <v>2</v>
      </c>
      <c r="D28" s="1191">
        <v>1</v>
      </c>
      <c r="E28" s="1191">
        <v>2</v>
      </c>
      <c r="F28" s="1191">
        <v>1</v>
      </c>
      <c r="G28" s="1191">
        <v>2</v>
      </c>
      <c r="H28" s="1191">
        <v>1</v>
      </c>
      <c r="I28" s="1190">
        <v>2</v>
      </c>
      <c r="J28" s="1191">
        <v>1</v>
      </c>
      <c r="K28" s="1190">
        <v>2</v>
      </c>
      <c r="L28" s="1188" t="s">
        <v>1741</v>
      </c>
    </row>
    <row r="29" spans="1:12">
      <c r="A29" s="62" t="s">
        <v>1295</v>
      </c>
      <c r="B29" s="564"/>
      <c r="C29" s="564"/>
      <c r="D29" s="564"/>
      <c r="E29" s="564"/>
      <c r="F29" s="564"/>
      <c r="G29" s="564"/>
      <c r="H29" s="564"/>
      <c r="I29" s="564"/>
      <c r="J29" s="564"/>
      <c r="K29" s="564"/>
      <c r="L29" s="1188" t="s">
        <v>1296</v>
      </c>
    </row>
    <row r="30" spans="1:12">
      <c r="A30" s="62" t="s">
        <v>1297</v>
      </c>
      <c r="B30" s="564"/>
      <c r="C30" s="564"/>
      <c r="D30" s="564"/>
      <c r="E30" s="564"/>
      <c r="F30" s="564"/>
      <c r="G30" s="564"/>
      <c r="H30" s="564"/>
      <c r="I30" s="564"/>
      <c r="J30" s="564"/>
      <c r="K30" s="564"/>
      <c r="L30" s="1188" t="s">
        <v>1298</v>
      </c>
    </row>
    <row r="31" spans="1:12">
      <c r="A31" s="63" t="s">
        <v>1299</v>
      </c>
    </row>
    <row r="32" spans="1:12">
      <c r="A32" s="62" t="s">
        <v>1300</v>
      </c>
      <c r="B32" s="564"/>
      <c r="C32" s="564"/>
      <c r="D32" s="564"/>
      <c r="E32" s="564"/>
      <c r="F32" s="564"/>
      <c r="G32" s="564"/>
      <c r="H32" s="564"/>
      <c r="I32" s="564"/>
      <c r="J32" s="564"/>
      <c r="K32" s="564"/>
      <c r="L32" s="1188" t="s">
        <v>1301</v>
      </c>
    </row>
    <row r="33" spans="1:12">
      <c r="A33" s="62" t="s">
        <v>1302</v>
      </c>
      <c r="B33" s="585"/>
      <c r="C33" s="585"/>
      <c r="D33" s="585"/>
      <c r="E33" s="585"/>
      <c r="F33" s="585"/>
      <c r="G33" s="585"/>
      <c r="H33" s="585"/>
      <c r="I33" s="585"/>
      <c r="J33" s="585"/>
      <c r="K33" s="585"/>
      <c r="L33" s="1188" t="s">
        <v>1303</v>
      </c>
    </row>
    <row r="34" spans="1:12">
      <c r="A34" s="63" t="s">
        <v>1435</v>
      </c>
    </row>
    <row r="35" spans="1:12" ht="12.75" customHeight="1">
      <c r="A35" s="62" t="s">
        <v>876</v>
      </c>
      <c r="B35" s="586"/>
      <c r="C35" s="586"/>
      <c r="D35" s="586"/>
      <c r="E35" s="586"/>
      <c r="F35" s="586"/>
      <c r="G35" s="586"/>
      <c r="H35" s="586"/>
      <c r="I35" s="586"/>
      <c r="J35" s="586"/>
      <c r="K35" s="586"/>
      <c r="L35" s="1189" t="s">
        <v>1762</v>
      </c>
    </row>
    <row r="36" spans="1:12">
      <c r="A36" s="62" t="s">
        <v>877</v>
      </c>
      <c r="B36" s="567"/>
      <c r="C36" s="567"/>
      <c r="D36" s="567"/>
      <c r="E36" s="567"/>
      <c r="F36" s="567"/>
      <c r="G36" s="567"/>
      <c r="H36" s="567"/>
      <c r="I36" s="567"/>
      <c r="J36" s="567"/>
      <c r="K36" s="567"/>
      <c r="L36" s="1189" t="s">
        <v>1763</v>
      </c>
    </row>
    <row r="37" spans="1:12">
      <c r="A37" s="482" t="s">
        <v>1304</v>
      </c>
      <c r="B37" s="483">
        <f t="shared" ref="B37:K37" si="1">B29+B30+B32+B33+B35+B36</f>
        <v>0</v>
      </c>
      <c r="C37" s="483">
        <f t="shared" si="1"/>
        <v>0</v>
      </c>
      <c r="D37" s="483">
        <f t="shared" si="1"/>
        <v>0</v>
      </c>
      <c r="E37" s="483">
        <f t="shared" si="1"/>
        <v>0</v>
      </c>
      <c r="F37" s="483">
        <f t="shared" si="1"/>
        <v>0</v>
      </c>
      <c r="G37" s="483">
        <f t="shared" si="1"/>
        <v>0</v>
      </c>
      <c r="H37" s="483">
        <f t="shared" si="1"/>
        <v>0</v>
      </c>
      <c r="I37" s="483">
        <f t="shared" si="1"/>
        <v>0</v>
      </c>
      <c r="J37" s="483">
        <f t="shared" si="1"/>
        <v>0</v>
      </c>
      <c r="K37" s="483">
        <f t="shared" si="1"/>
        <v>0</v>
      </c>
      <c r="L37" s="1189" t="s">
        <v>1305</v>
      </c>
    </row>
    <row r="38" spans="1:12">
      <c r="B38" s="1190">
        <v>1</v>
      </c>
      <c r="C38" s="1190">
        <v>1</v>
      </c>
      <c r="D38" s="1190">
        <v>2</v>
      </c>
      <c r="E38" s="1190">
        <v>2</v>
      </c>
      <c r="F38" s="1190">
        <v>3</v>
      </c>
      <c r="G38" s="1190">
        <v>3</v>
      </c>
      <c r="H38" s="1190">
        <v>4</v>
      </c>
      <c r="I38" s="1190">
        <v>4</v>
      </c>
      <c r="J38" s="1190">
        <v>5</v>
      </c>
      <c r="K38" s="1190">
        <v>5</v>
      </c>
      <c r="L38" s="1190" t="s">
        <v>1306</v>
      </c>
    </row>
    <row r="40" spans="1:12">
      <c r="A40" s="1" t="s">
        <v>2281</v>
      </c>
    </row>
    <row r="41" spans="1:12">
      <c r="A41" s="2255" t="s">
        <v>2409</v>
      </c>
      <c r="B41" s="2255" t="s">
        <v>1136</v>
      </c>
      <c r="C41" s="2255"/>
    </row>
    <row r="42" spans="1:12">
      <c r="A42" s="2255"/>
      <c r="B42" s="2255"/>
      <c r="C42" s="2255"/>
    </row>
    <row r="43" spans="1:12">
      <c r="A43" s="2255"/>
      <c r="B43" s="59" t="s">
        <v>707</v>
      </c>
      <c r="C43" s="59" t="s">
        <v>708</v>
      </c>
    </row>
    <row r="44" spans="1:12">
      <c r="A44" s="60" t="s">
        <v>709</v>
      </c>
      <c r="B44" s="1190">
        <v>1</v>
      </c>
      <c r="C44" s="1190">
        <v>2</v>
      </c>
      <c r="D44" s="1190" t="s">
        <v>1741</v>
      </c>
    </row>
    <row r="45" spans="1:12">
      <c r="A45" s="62" t="s">
        <v>1295</v>
      </c>
      <c r="B45" s="564"/>
      <c r="C45" s="564"/>
      <c r="D45" s="1188" t="s">
        <v>1296</v>
      </c>
    </row>
    <row r="46" spans="1:12">
      <c r="A46" s="62" t="s">
        <v>1297</v>
      </c>
      <c r="B46" s="564">
        <v>0</v>
      </c>
      <c r="C46" s="564">
        <v>1</v>
      </c>
      <c r="D46" s="1188" t="s">
        <v>1298</v>
      </c>
    </row>
    <row r="47" spans="1:12">
      <c r="A47" s="63" t="s">
        <v>1299</v>
      </c>
    </row>
    <row r="48" spans="1:12">
      <c r="A48" s="62" t="s">
        <v>1300</v>
      </c>
      <c r="B48" s="564"/>
      <c r="C48" s="564"/>
      <c r="D48" s="1188" t="s">
        <v>1301</v>
      </c>
    </row>
    <row r="49" spans="1:4">
      <c r="A49" s="62" t="s">
        <v>1302</v>
      </c>
      <c r="B49" s="585"/>
      <c r="C49" s="585"/>
      <c r="D49" s="1188" t="s">
        <v>1303</v>
      </c>
    </row>
    <row r="50" spans="1:4">
      <c r="A50" s="63" t="s">
        <v>1435</v>
      </c>
    </row>
    <row r="51" spans="1:4">
      <c r="A51" s="62" t="s">
        <v>876</v>
      </c>
      <c r="B51" s="586"/>
      <c r="C51" s="586"/>
      <c r="D51" s="1189" t="s">
        <v>1762</v>
      </c>
    </row>
    <row r="52" spans="1:4">
      <c r="A52" s="62" t="s">
        <v>877</v>
      </c>
      <c r="B52" s="567"/>
      <c r="C52" s="567"/>
      <c r="D52" s="1189" t="s">
        <v>1763</v>
      </c>
    </row>
    <row r="53" spans="1:4">
      <c r="A53" s="482" t="s">
        <v>1304</v>
      </c>
      <c r="B53" s="483">
        <f>B45+B46+B48+B49+B51+B52</f>
        <v>0</v>
      </c>
      <c r="C53" s="483">
        <f>C45+C46+C48+C49+C51+C52</f>
        <v>1</v>
      </c>
      <c r="D53" s="1189" t="s">
        <v>1305</v>
      </c>
    </row>
  </sheetData>
  <sheetProtection algorithmName="SHA-512" hashValue="JoOgryRnP5scDJx2x/N6PqxCGijRWI6ALdRq4gueFhN4hzrMILXgFRj+e/BX7Y/fOXlBpS7DfCY6G4/Mfei78g==" saltValue="nWHFbARtiBIsqrSBN5p3dQ==" spinCount="100000" sheet="1" objects="1" scenarios="1"/>
  <mergeCells count="19">
    <mergeCell ref="A6:K6"/>
    <mergeCell ref="C1:D1"/>
    <mergeCell ref="A9:A11"/>
    <mergeCell ref="B10:C10"/>
    <mergeCell ref="D10:E10"/>
    <mergeCell ref="F10:G10"/>
    <mergeCell ref="A3:K3"/>
    <mergeCell ref="B9:K9"/>
    <mergeCell ref="H10:I10"/>
    <mergeCell ref="J10:K10"/>
    <mergeCell ref="A41:A43"/>
    <mergeCell ref="B41:C42"/>
    <mergeCell ref="A25:A27"/>
    <mergeCell ref="B26:C26"/>
    <mergeCell ref="B25:K25"/>
    <mergeCell ref="H26:I26"/>
    <mergeCell ref="F26:G26"/>
    <mergeCell ref="D26:E26"/>
    <mergeCell ref="J26:K26"/>
  </mergeCells>
  <dataValidations xWindow="20641" yWindow="51168" count="1">
    <dataValidation type="whole" allowBlank="1" showInputMessage="1" showErrorMessage="1" errorTitle="Erreur de saisie" error="Vous devez saisir une valeur entière" sqref="B51:C52 B48:C49 B45:C46 B35:K36 B32:K33 B29:K30 B19:K20 B16:K17 B13:K14">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53" firstPageNumber="0" orientation="portrait" r:id="rId1"/>
  <headerFooter alignWithMargins="0">
    <oddFooter>&amp;LRSU 2020 - Présentation au CTP&amp;R&amp;P/&amp;N
&amp;A</oddFooter>
  </headerFooter>
</worksheet>
</file>

<file path=xl/worksheets/sheet37.xml><?xml version="1.0" encoding="utf-8"?>
<worksheet xmlns="http://schemas.openxmlformats.org/spreadsheetml/2006/main" xmlns:r="http://schemas.openxmlformats.org/officeDocument/2006/relationships">
  <sheetPr codeName="Feuil29">
    <pageSetUpPr fitToPage="1"/>
  </sheetPr>
  <dimension ref="A1:H44"/>
  <sheetViews>
    <sheetView showGridLines="0" zoomScaleNormal="85" workbookViewId="0"/>
  </sheetViews>
  <sheetFormatPr baseColWidth="10" defaultColWidth="10.85546875" defaultRowHeight="12.75" customHeight="1"/>
  <cols>
    <col min="1" max="7" width="10.85546875" customWidth="1"/>
    <col min="8" max="8" width="20.42578125" customWidth="1"/>
  </cols>
  <sheetData>
    <row r="1" spans="1:8" ht="17.100000000000001" customHeight="1">
      <c r="A1" s="1"/>
      <c r="B1" s="1"/>
      <c r="C1" s="1"/>
      <c r="D1" s="2245" t="s">
        <v>958</v>
      </c>
      <c r="E1" s="2245"/>
      <c r="F1" s="1"/>
      <c r="G1" s="1"/>
      <c r="H1" s="1"/>
    </row>
    <row r="3" spans="1:8" ht="13.5" thickBot="1">
      <c r="A3" s="2362" t="s">
        <v>2499</v>
      </c>
      <c r="B3" s="2362"/>
      <c r="C3" s="2362"/>
      <c r="D3" s="2362"/>
      <c r="E3" s="2362"/>
      <c r="F3" s="2362"/>
      <c r="G3" s="2362"/>
      <c r="H3" s="2362"/>
    </row>
    <row r="5" spans="1:8" ht="12.75" customHeight="1">
      <c r="A5" s="2387" t="s">
        <v>1688</v>
      </c>
      <c r="B5" s="2387"/>
      <c r="C5" s="2387"/>
      <c r="D5" s="2387"/>
      <c r="E5" s="2387"/>
      <c r="F5" s="2387"/>
      <c r="G5" s="2387"/>
      <c r="H5" s="2387"/>
    </row>
    <row r="6" spans="1:8" ht="12.75" customHeight="1">
      <c r="A6" s="2244" t="s">
        <v>1861</v>
      </c>
      <c r="B6" s="2244"/>
      <c r="C6" s="2244"/>
      <c r="D6" s="2244"/>
      <c r="E6" s="2244"/>
      <c r="F6" s="2244"/>
      <c r="G6" s="2244"/>
      <c r="H6" s="2244"/>
    </row>
    <row r="9" spans="1:8" ht="12.75" customHeight="1">
      <c r="A9" s="2244" t="s">
        <v>959</v>
      </c>
      <c r="B9" s="2244"/>
      <c r="C9" s="2244"/>
      <c r="D9" s="2244"/>
      <c r="E9" s="2244"/>
      <c r="F9" s="2244"/>
      <c r="G9" s="2244"/>
      <c r="H9" s="2244"/>
    </row>
    <row r="10" spans="1:8" ht="12.75" customHeight="1">
      <c r="A10" s="2239" t="s">
        <v>1689</v>
      </c>
      <c r="B10" s="2239"/>
      <c r="C10" s="2239"/>
      <c r="D10" s="2239"/>
      <c r="E10" s="2239"/>
      <c r="F10" s="2239"/>
      <c r="G10" s="2239"/>
      <c r="H10" s="2239"/>
    </row>
    <row r="12" spans="1:8" ht="12.75" customHeight="1">
      <c r="A12" s="2239" t="s">
        <v>2500</v>
      </c>
      <c r="B12" s="2239"/>
      <c r="C12" s="2239"/>
      <c r="D12" s="2239"/>
      <c r="E12" s="2239"/>
      <c r="F12" s="2239"/>
      <c r="G12" s="2239"/>
      <c r="H12" s="2239"/>
    </row>
    <row r="14" spans="1:8" ht="15" customHeight="1">
      <c r="A14" s="2239" t="s">
        <v>1690</v>
      </c>
      <c r="B14" s="2239"/>
      <c r="C14" s="2239"/>
      <c r="D14" s="2239"/>
      <c r="E14" s="2239"/>
      <c r="F14" s="2239"/>
      <c r="G14" s="2239"/>
      <c r="H14" s="2239"/>
    </row>
    <row r="15" spans="1:8" ht="25.5" customHeight="1">
      <c r="A15" s="2483" t="s">
        <v>1691</v>
      </c>
      <c r="B15" s="2483"/>
      <c r="C15" s="2483"/>
      <c r="D15" s="2483"/>
      <c r="E15" s="2483"/>
      <c r="F15" s="2483"/>
      <c r="G15" s="2483"/>
      <c r="H15" s="2483"/>
    </row>
    <row r="17" spans="1:8" ht="12.75" customHeight="1">
      <c r="A17" s="2239" t="s">
        <v>2600</v>
      </c>
      <c r="B17" s="2239"/>
      <c r="C17" s="2239"/>
      <c r="D17" s="2239"/>
      <c r="E17" s="2239"/>
      <c r="F17" s="2239"/>
      <c r="G17" s="2239"/>
      <c r="H17" s="2239"/>
    </row>
    <row r="20" spans="1:8" ht="12.75" customHeight="1">
      <c r="A20" s="2244" t="s">
        <v>960</v>
      </c>
      <c r="B20" s="2244"/>
      <c r="C20" s="2244"/>
      <c r="D20" s="2244"/>
      <c r="E20" s="2244"/>
      <c r="F20" s="2244"/>
      <c r="G20" s="2244"/>
      <c r="H20" s="2244"/>
    </row>
    <row r="22" spans="1:8" ht="12.75" customHeight="1">
      <c r="A22" s="2239" t="s">
        <v>1692</v>
      </c>
      <c r="B22" s="2239"/>
      <c r="C22" s="2239"/>
      <c r="D22" s="2239"/>
      <c r="E22" s="2239"/>
      <c r="F22" s="2239"/>
      <c r="G22" s="2239"/>
      <c r="H22" s="2239"/>
    </row>
    <row r="23" spans="1:8" ht="38.25" customHeight="1">
      <c r="A23" s="2484" t="s">
        <v>1693</v>
      </c>
      <c r="B23" s="2484"/>
      <c r="C23" s="2484"/>
      <c r="D23" s="2484"/>
      <c r="E23" s="2484"/>
      <c r="F23" s="2484"/>
      <c r="G23" s="2484"/>
      <c r="H23" s="2484"/>
    </row>
    <row r="25" spans="1:8" ht="12.75" customHeight="1">
      <c r="A25" s="2239" t="s">
        <v>1694</v>
      </c>
      <c r="B25" s="2239"/>
      <c r="C25" s="2239"/>
      <c r="D25" s="2239"/>
      <c r="E25" s="2239"/>
      <c r="F25" s="2239"/>
      <c r="G25" s="2239"/>
      <c r="H25" s="2239"/>
    </row>
    <row r="26" spans="1:8" ht="12.75" customHeight="1">
      <c r="A26" s="2264" t="s">
        <v>1695</v>
      </c>
      <c r="B26" s="2259"/>
      <c r="C26" s="2259"/>
      <c r="D26" s="2259"/>
      <c r="E26" s="2259"/>
      <c r="F26" s="2259"/>
      <c r="G26" s="2259"/>
      <c r="H26" s="2259"/>
    </row>
    <row r="27" spans="1:8" ht="12.75" customHeight="1">
      <c r="A27" s="2264" t="s">
        <v>1696</v>
      </c>
      <c r="B27" s="2259"/>
      <c r="C27" s="2259"/>
      <c r="D27" s="2259"/>
      <c r="E27" s="2259"/>
      <c r="F27" s="2259"/>
      <c r="G27" s="2259"/>
      <c r="H27" s="2259"/>
    </row>
    <row r="28" spans="1:8" ht="12.75" customHeight="1">
      <c r="A28" s="2264" t="s">
        <v>1697</v>
      </c>
      <c r="B28" s="2259"/>
      <c r="C28" s="2259"/>
      <c r="D28" s="2259"/>
      <c r="E28" s="2259"/>
      <c r="F28" s="2259"/>
      <c r="G28" s="2259"/>
      <c r="H28" s="2259"/>
    </row>
    <row r="29" spans="1:8" ht="25.5" customHeight="1">
      <c r="A29" s="2258" t="s">
        <v>1698</v>
      </c>
      <c r="B29" s="2259"/>
      <c r="C29" s="2259"/>
      <c r="D29" s="2259"/>
      <c r="E29" s="2259"/>
      <c r="F29" s="2259"/>
      <c r="G29" s="2259"/>
      <c r="H29" s="2259"/>
    </row>
    <row r="30" spans="1:8" ht="12.75" customHeight="1">
      <c r="A30" s="2264" t="s">
        <v>1699</v>
      </c>
      <c r="B30" s="2259"/>
      <c r="C30" s="2259"/>
      <c r="D30" s="2259"/>
      <c r="E30" s="2259"/>
      <c r="F30" s="2259"/>
      <c r="G30" s="2259"/>
      <c r="H30" s="2259"/>
    </row>
    <row r="31" spans="1:8" ht="12.75" customHeight="1">
      <c r="A31" s="2264" t="s">
        <v>1700</v>
      </c>
      <c r="B31" s="2259"/>
      <c r="C31" s="2259"/>
      <c r="D31" s="2259"/>
      <c r="E31" s="2259"/>
      <c r="F31" s="2259"/>
      <c r="G31" s="2259"/>
      <c r="H31" s="2259"/>
    </row>
    <row r="32" spans="1:8" ht="12.75" customHeight="1">
      <c r="A32" s="2481" t="s">
        <v>1701</v>
      </c>
      <c r="B32" s="2481"/>
      <c r="C32" s="2481"/>
      <c r="D32" s="2481"/>
      <c r="E32" s="2481"/>
      <c r="F32" s="2481"/>
      <c r="G32" s="2481"/>
      <c r="H32" s="2481"/>
    </row>
    <row r="34" spans="1:8" ht="12.75" customHeight="1">
      <c r="A34" s="2264" t="s">
        <v>1702</v>
      </c>
      <c r="B34" s="2259"/>
      <c r="C34" s="2259"/>
      <c r="D34" s="2259"/>
      <c r="E34" s="2259"/>
      <c r="F34" s="2259"/>
      <c r="G34" s="2259"/>
      <c r="H34" s="2259"/>
    </row>
    <row r="35" spans="1:8" ht="28.15" customHeight="1">
      <c r="A35" s="2264" t="s">
        <v>1703</v>
      </c>
      <c r="B35" s="2259"/>
      <c r="C35" s="2259"/>
      <c r="D35" s="2259"/>
      <c r="E35" s="2259"/>
      <c r="F35" s="2259"/>
      <c r="G35" s="2259"/>
      <c r="H35" s="2259"/>
    </row>
    <row r="36" spans="1:8" ht="12.75" customHeight="1">
      <c r="A36" s="2264" t="s">
        <v>1704</v>
      </c>
      <c r="B36" s="2259"/>
      <c r="C36" s="2259"/>
      <c r="D36" s="2259"/>
      <c r="E36" s="2259"/>
      <c r="F36" s="2259"/>
      <c r="G36" s="2259"/>
      <c r="H36" s="2259"/>
    </row>
    <row r="38" spans="1:8" ht="15.95" customHeight="1">
      <c r="A38" s="2239" t="s">
        <v>1705</v>
      </c>
      <c r="B38" s="2239"/>
      <c r="C38" s="2239"/>
      <c r="D38" s="2239"/>
      <c r="E38" s="2239"/>
      <c r="F38" s="2239"/>
      <c r="G38" s="2239"/>
      <c r="H38" s="2239"/>
    </row>
    <row r="39" spans="1:8" ht="12.75" customHeight="1">
      <c r="A39" s="2258" t="s">
        <v>1706</v>
      </c>
      <c r="B39" s="2259"/>
      <c r="C39" s="2259"/>
      <c r="D39" s="2259"/>
      <c r="E39" s="2259"/>
      <c r="F39" s="2259"/>
      <c r="G39" s="2259"/>
      <c r="H39" s="2259"/>
    </row>
    <row r="40" spans="1:8" ht="12.75" customHeight="1">
      <c r="A40" s="2258" t="s">
        <v>1707</v>
      </c>
      <c r="B40" s="2259"/>
      <c r="C40" s="2259"/>
      <c r="D40" s="2259"/>
      <c r="E40" s="2259"/>
      <c r="F40" s="2259"/>
      <c r="G40" s="2259"/>
      <c r="H40" s="2259"/>
    </row>
    <row r="42" spans="1:8" ht="38.25" customHeight="1">
      <c r="A42" s="2482" t="s">
        <v>1412</v>
      </c>
      <c r="B42" s="2482"/>
      <c r="C42" s="2482"/>
      <c r="D42" s="2482"/>
      <c r="E42" s="2482"/>
      <c r="F42" s="2482"/>
      <c r="G42" s="2482"/>
      <c r="H42" s="2482"/>
    </row>
    <row r="44" spans="1:8" ht="38.25" customHeight="1">
      <c r="A44" s="2480" t="s">
        <v>2152</v>
      </c>
      <c r="B44" s="2480"/>
      <c r="C44" s="2480"/>
      <c r="D44" s="2480"/>
      <c r="E44" s="2480"/>
      <c r="F44" s="2480"/>
      <c r="G44" s="2480"/>
      <c r="H44" s="2480"/>
    </row>
  </sheetData>
  <sheetProtection algorithmName="SHA-512" hashValue="oSlE307XIhGEhxfviYUi6WF6lBwbauOBAzacKPmFrWzk1b+asROff7KR5mI9+/fF5FVWddfoG/O/VH8WmrqLXw==" saltValue="u2ibtGPV/tq92H35aoc5Mg==" spinCount="100000" sheet="1" objects="1" scenarios="1"/>
  <mergeCells count="29">
    <mergeCell ref="A29:H29"/>
    <mergeCell ref="A15:H15"/>
    <mergeCell ref="A17:H17"/>
    <mergeCell ref="A10:H10"/>
    <mergeCell ref="A27:H27"/>
    <mergeCell ref="A28:H28"/>
    <mergeCell ref="A12:H12"/>
    <mergeCell ref="A14:H14"/>
    <mergeCell ref="A22:H22"/>
    <mergeCell ref="A26:H26"/>
    <mergeCell ref="A23:H23"/>
    <mergeCell ref="A25:H25"/>
    <mergeCell ref="A20:H20"/>
    <mergeCell ref="D1:E1"/>
    <mergeCell ref="A3:H3"/>
    <mergeCell ref="A5:H5"/>
    <mergeCell ref="A6:H6"/>
    <mergeCell ref="A9:H9"/>
    <mergeCell ref="A44:H44"/>
    <mergeCell ref="A30:H30"/>
    <mergeCell ref="A31:H31"/>
    <mergeCell ref="A32:H32"/>
    <mergeCell ref="A34:H34"/>
    <mergeCell ref="A35:H35"/>
    <mergeCell ref="A42:H42"/>
    <mergeCell ref="A36:H36"/>
    <mergeCell ref="A38:H38"/>
    <mergeCell ref="A40:H40"/>
    <mergeCell ref="A39:H39"/>
  </mergeCell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94" firstPageNumber="0" orientation="portrait" r:id="rId1"/>
  <headerFooter alignWithMargins="0">
    <oddFooter>&amp;LRSU 2020 - Présentation au CTP&amp;R&amp;P/&amp;N
&amp;A</oddFooter>
  </headerFooter>
</worksheet>
</file>

<file path=xl/worksheets/sheet38.xml><?xml version="1.0" encoding="utf-8"?>
<worksheet xmlns="http://schemas.openxmlformats.org/spreadsheetml/2006/main" xmlns:r="http://schemas.openxmlformats.org/officeDocument/2006/relationships">
  <sheetPr codeName="Feuil30">
    <pageSetUpPr fitToPage="1"/>
  </sheetPr>
  <dimension ref="A1:X95"/>
  <sheetViews>
    <sheetView showGridLines="0" topLeftCell="O1" zoomScaleNormal="100" zoomScaleSheetLayoutView="100" workbookViewId="0">
      <pane ySplit="15" topLeftCell="A73" activePane="bottomLeft" state="frozen"/>
      <selection activeCell="H29" sqref="H29:AB29"/>
      <selection pane="bottomLeft" activeCell="T73" sqref="T73:W76"/>
    </sheetView>
  </sheetViews>
  <sheetFormatPr baseColWidth="10" defaultColWidth="10.85546875" defaultRowHeight="12.75" customHeight="1"/>
  <cols>
    <col min="1" max="1" width="73.140625" customWidth="1"/>
    <col min="3" max="3" width="10.28515625" customWidth="1"/>
    <col min="5" max="5" width="9.140625" customWidth="1"/>
    <col min="8" max="8" width="9.85546875" customWidth="1"/>
    <col min="9" max="9" width="10" customWidth="1"/>
    <col min="10" max="10" width="10.5703125" customWidth="1"/>
    <col min="11" max="11" width="10.42578125" customWidth="1"/>
    <col min="12" max="12" width="10" customWidth="1"/>
    <col min="13" max="13" width="11.85546875" customWidth="1"/>
    <col min="14" max="14" width="11.42578125" customWidth="1"/>
    <col min="16" max="16" width="12.28515625" customWidth="1"/>
    <col min="20" max="20" width="9.28515625" customWidth="1"/>
    <col min="21" max="21" width="9" customWidth="1"/>
    <col min="22" max="22" width="8.85546875" customWidth="1"/>
    <col min="23" max="23" width="8.7109375" customWidth="1"/>
  </cols>
  <sheetData>
    <row r="1" spans="1:24" ht="17.100000000000001" customHeight="1">
      <c r="F1" s="2245" t="s">
        <v>958</v>
      </c>
      <c r="G1" s="2245"/>
    </row>
    <row r="2" spans="1:24" ht="13.5" thickBot="1"/>
    <row r="3" spans="1:24" ht="15.75" thickBot="1">
      <c r="A3" s="2463" t="s">
        <v>2501</v>
      </c>
      <c r="B3" s="2463"/>
      <c r="C3" s="2463"/>
      <c r="D3" s="2463"/>
      <c r="E3" s="2463"/>
      <c r="F3" s="2463"/>
      <c r="G3" s="2463"/>
      <c r="H3" s="2463"/>
      <c r="I3" s="2463"/>
      <c r="J3" s="2463"/>
      <c r="K3" s="2463"/>
      <c r="L3" s="2463"/>
      <c r="M3" s="2463"/>
      <c r="N3" s="2463"/>
      <c r="O3" s="2463"/>
      <c r="P3" s="2502"/>
      <c r="Q3" s="2502"/>
      <c r="R3" s="2502"/>
      <c r="S3" s="2502"/>
      <c r="T3" s="2249"/>
      <c r="U3" s="2249"/>
      <c r="V3" s="2249"/>
      <c r="W3" s="2249"/>
      <c r="X3" s="542"/>
    </row>
    <row r="5" spans="1:24">
      <c r="A5" s="2500" t="s">
        <v>2502</v>
      </c>
      <c r="B5" s="2500"/>
      <c r="C5" s="2500"/>
      <c r="D5" s="2500"/>
      <c r="E5" s="2500"/>
      <c r="F5" s="2500"/>
      <c r="G5" s="2500"/>
      <c r="H5" s="2500"/>
      <c r="I5" s="2500"/>
    </row>
    <row r="6" spans="1:24">
      <c r="A6" s="2501" t="s">
        <v>299</v>
      </c>
      <c r="B6" s="2501"/>
      <c r="C6" s="2501"/>
      <c r="D6" s="2501"/>
      <c r="E6" s="2501"/>
      <c r="F6" s="2501"/>
      <c r="G6" s="2501"/>
      <c r="H6" s="2501"/>
      <c r="I6" s="2501"/>
      <c r="J6" s="2501"/>
    </row>
    <row r="8" spans="1:24">
      <c r="A8" s="152" t="s">
        <v>1603</v>
      </c>
      <c r="B8" s="152"/>
      <c r="C8" s="152"/>
      <c r="D8" s="152"/>
    </row>
    <row r="10" spans="1:24">
      <c r="B10" s="1208">
        <v>11</v>
      </c>
      <c r="C10" s="1208">
        <v>13</v>
      </c>
      <c r="D10" s="1208">
        <v>15</v>
      </c>
      <c r="E10" s="1208">
        <v>21</v>
      </c>
      <c r="F10" s="1208">
        <v>22</v>
      </c>
      <c r="G10" s="1208">
        <v>23</v>
      </c>
      <c r="H10" s="1208">
        <v>30</v>
      </c>
      <c r="I10" s="1208">
        <v>40</v>
      </c>
      <c r="J10" s="1208">
        <v>50</v>
      </c>
      <c r="K10" s="1208">
        <v>61</v>
      </c>
      <c r="L10" s="1208">
        <v>62</v>
      </c>
      <c r="M10" s="1208">
        <v>63</v>
      </c>
      <c r="N10" s="1208">
        <v>64</v>
      </c>
      <c r="O10" s="1208">
        <v>80</v>
      </c>
      <c r="P10" s="1208">
        <v>70</v>
      </c>
      <c r="Q10" s="1208">
        <v>71</v>
      </c>
      <c r="R10" s="1208">
        <v>90</v>
      </c>
      <c r="S10" s="1209" t="s">
        <v>697</v>
      </c>
      <c r="T10" s="1210">
        <v>1</v>
      </c>
      <c r="U10" s="1210">
        <v>2</v>
      </c>
      <c r="V10" s="1210">
        <v>1</v>
      </c>
      <c r="W10" s="1210">
        <v>2</v>
      </c>
      <c r="X10" s="1210" t="s">
        <v>710</v>
      </c>
    </row>
    <row r="11" spans="1:24">
      <c r="A11" s="2496" t="s">
        <v>1604</v>
      </c>
      <c r="B11" s="2358" t="s">
        <v>1513</v>
      </c>
      <c r="C11" s="2492"/>
      <c r="D11" s="2492"/>
      <c r="E11" s="2492"/>
      <c r="F11" s="2492"/>
      <c r="G11" s="2492"/>
      <c r="H11" s="2492"/>
      <c r="I11" s="2492"/>
      <c r="J11" s="2492"/>
      <c r="K11" s="2492"/>
      <c r="L11" s="2492"/>
      <c r="M11" s="2492"/>
      <c r="N11" s="2492"/>
      <c r="O11" s="2492"/>
      <c r="P11" s="2492"/>
      <c r="Q11" s="2492"/>
      <c r="R11" s="2493"/>
      <c r="S11" s="749"/>
      <c r="T11" s="2496" t="s">
        <v>1513</v>
      </c>
      <c r="U11" s="2496"/>
      <c r="V11" s="2496"/>
      <c r="W11" s="2496"/>
    </row>
    <row r="12" spans="1:24">
      <c r="A12" s="2506"/>
      <c r="B12" s="2358" t="s">
        <v>1605</v>
      </c>
      <c r="C12" s="2498"/>
      <c r="D12" s="2498"/>
      <c r="E12" s="2498"/>
      <c r="F12" s="2498"/>
      <c r="G12" s="2498"/>
      <c r="H12" s="2498"/>
      <c r="I12" s="2498"/>
      <c r="J12" s="2499"/>
      <c r="K12" s="2520" t="s">
        <v>613</v>
      </c>
      <c r="L12" s="2521"/>
      <c r="M12" s="2521"/>
      <c r="N12" s="2522"/>
      <c r="O12" s="2360" t="s">
        <v>1605</v>
      </c>
      <c r="P12" s="2496"/>
      <c r="Q12" s="2496"/>
      <c r="R12" s="2496"/>
      <c r="S12" s="750"/>
      <c r="T12" s="2496" t="s">
        <v>1604</v>
      </c>
      <c r="U12" s="2496"/>
      <c r="V12" s="2496"/>
      <c r="W12" s="2496"/>
    </row>
    <row r="13" spans="1:24" ht="48.75" customHeight="1">
      <c r="A13" s="2506"/>
      <c r="B13" s="2487" t="s">
        <v>1606</v>
      </c>
      <c r="C13" s="2488"/>
      <c r="D13" s="2489"/>
      <c r="E13" s="2485" t="s">
        <v>1669</v>
      </c>
      <c r="F13" s="2486"/>
      <c r="G13" s="2486"/>
      <c r="H13" s="2514" t="s">
        <v>164</v>
      </c>
      <c r="I13" s="2490" t="s">
        <v>1607</v>
      </c>
      <c r="J13" s="2490" t="s">
        <v>1608</v>
      </c>
      <c r="K13" s="2508" t="s">
        <v>1609</v>
      </c>
      <c r="L13" s="2516" t="s">
        <v>1610</v>
      </c>
      <c r="M13" s="2518" t="s">
        <v>2034</v>
      </c>
      <c r="N13" s="2503" t="s">
        <v>2035</v>
      </c>
      <c r="O13" s="2505" t="s">
        <v>2036</v>
      </c>
      <c r="P13" s="2487" t="s">
        <v>614</v>
      </c>
      <c r="Q13" s="2497"/>
      <c r="R13" s="2494" t="s">
        <v>1021</v>
      </c>
      <c r="S13" s="484" t="s">
        <v>768</v>
      </c>
      <c r="T13" s="2512" t="s">
        <v>770</v>
      </c>
      <c r="U13" s="2513"/>
      <c r="V13" s="2510" t="s">
        <v>771</v>
      </c>
      <c r="W13" s="2511"/>
    </row>
    <row r="14" spans="1:24" ht="84">
      <c r="A14" s="2506"/>
      <c r="B14" s="897" t="s">
        <v>1321</v>
      </c>
      <c r="C14" s="856" t="s">
        <v>2410</v>
      </c>
      <c r="D14" s="856" t="s">
        <v>2411</v>
      </c>
      <c r="E14" s="856" t="s">
        <v>1268</v>
      </c>
      <c r="F14" s="856" t="s">
        <v>2412</v>
      </c>
      <c r="G14" s="858" t="s">
        <v>2413</v>
      </c>
      <c r="H14" s="2515"/>
      <c r="I14" s="2491"/>
      <c r="J14" s="2491"/>
      <c r="K14" s="2509"/>
      <c r="L14" s="2517"/>
      <c r="M14" s="2519"/>
      <c r="N14" s="2504"/>
      <c r="O14" s="2505"/>
      <c r="P14" s="857" t="s">
        <v>615</v>
      </c>
      <c r="Q14" s="857" t="s">
        <v>616</v>
      </c>
      <c r="R14" s="2495"/>
      <c r="S14" s="484"/>
      <c r="T14" s="230" t="s">
        <v>707</v>
      </c>
      <c r="U14" s="231" t="s">
        <v>708</v>
      </c>
      <c r="V14" s="232" t="s">
        <v>707</v>
      </c>
      <c r="W14" s="751" t="s">
        <v>708</v>
      </c>
    </row>
    <row r="15" spans="1:24">
      <c r="A15" s="2507"/>
      <c r="B15" s="412" t="s">
        <v>1269</v>
      </c>
      <c r="C15" s="233" t="s">
        <v>738</v>
      </c>
      <c r="D15" s="233" t="s">
        <v>29</v>
      </c>
      <c r="E15" s="233" t="s">
        <v>739</v>
      </c>
      <c r="F15" s="233" t="s">
        <v>740</v>
      </c>
      <c r="G15" s="233" t="s">
        <v>30</v>
      </c>
      <c r="H15" s="234" t="s">
        <v>31</v>
      </c>
      <c r="I15" s="235" t="s">
        <v>2037</v>
      </c>
      <c r="J15" s="752" t="s">
        <v>2038</v>
      </c>
      <c r="K15" s="236" t="s">
        <v>2039</v>
      </c>
      <c r="L15" s="237" t="s">
        <v>2040</v>
      </c>
      <c r="M15" s="233" t="s">
        <v>1270</v>
      </c>
      <c r="N15" s="238" t="s">
        <v>2041</v>
      </c>
      <c r="O15" s="237" t="s">
        <v>2042</v>
      </c>
      <c r="P15" s="753" t="s">
        <v>2043</v>
      </c>
      <c r="Q15" s="753" t="s">
        <v>1271</v>
      </c>
      <c r="R15" s="753" t="s">
        <v>1272</v>
      </c>
      <c r="S15" s="754"/>
      <c r="T15" s="962" t="s">
        <v>32</v>
      </c>
      <c r="U15" s="963" t="s">
        <v>33</v>
      </c>
      <c r="V15" s="964" t="s">
        <v>741</v>
      </c>
      <c r="W15" s="962" t="s">
        <v>742</v>
      </c>
    </row>
    <row r="16" spans="1:24">
      <c r="A16" s="159" t="s">
        <v>1915</v>
      </c>
      <c r="T16" s="1211">
        <v>10</v>
      </c>
      <c r="U16" s="1211">
        <v>10</v>
      </c>
      <c r="V16" s="1211">
        <v>20</v>
      </c>
      <c r="W16" s="1211">
        <v>20</v>
      </c>
      <c r="X16" s="1212" t="s">
        <v>1951</v>
      </c>
    </row>
    <row r="17" spans="1:24">
      <c r="A17" s="181" t="s">
        <v>703</v>
      </c>
      <c r="B17" s="575">
        <v>0</v>
      </c>
      <c r="C17" s="575">
        <v>0</v>
      </c>
      <c r="D17" s="575">
        <v>0</v>
      </c>
      <c r="E17" s="570">
        <v>0</v>
      </c>
      <c r="F17" s="572">
        <v>0</v>
      </c>
      <c r="G17" s="572">
        <v>0</v>
      </c>
      <c r="H17" s="572">
        <v>0</v>
      </c>
      <c r="I17" s="572">
        <v>0</v>
      </c>
      <c r="J17" s="755">
        <v>0</v>
      </c>
      <c r="K17" s="756">
        <v>0</v>
      </c>
      <c r="L17" s="569">
        <v>0</v>
      </c>
      <c r="M17" s="570">
        <v>0</v>
      </c>
      <c r="N17" s="587">
        <v>0</v>
      </c>
      <c r="O17" s="569">
        <v>0</v>
      </c>
      <c r="P17" s="570">
        <v>0</v>
      </c>
      <c r="Q17" s="569">
        <v>1</v>
      </c>
      <c r="R17" s="569">
        <v>0</v>
      </c>
      <c r="S17" s="485">
        <f t="shared" ref="S17:S22" si="0">SUM(B17:R17)</f>
        <v>1</v>
      </c>
      <c r="T17" s="588">
        <v>1</v>
      </c>
      <c r="U17" s="569">
        <v>0</v>
      </c>
      <c r="V17" s="588">
        <v>0</v>
      </c>
      <c r="W17" s="570">
        <v>0</v>
      </c>
      <c r="X17" s="1213" t="s">
        <v>1925</v>
      </c>
    </row>
    <row r="18" spans="1:24">
      <c r="A18" s="181" t="s">
        <v>704</v>
      </c>
      <c r="B18" s="575">
        <v>0</v>
      </c>
      <c r="C18" s="575">
        <v>0</v>
      </c>
      <c r="D18" s="575">
        <v>0</v>
      </c>
      <c r="E18" s="590">
        <v>0</v>
      </c>
      <c r="F18" s="591">
        <v>0</v>
      </c>
      <c r="G18" s="591">
        <v>0</v>
      </c>
      <c r="H18" s="591">
        <v>0</v>
      </c>
      <c r="I18" s="591">
        <v>0</v>
      </c>
      <c r="J18" s="757">
        <v>3</v>
      </c>
      <c r="K18" s="758">
        <v>0</v>
      </c>
      <c r="L18" s="592">
        <v>0</v>
      </c>
      <c r="M18" s="593">
        <v>0</v>
      </c>
      <c r="N18" s="594">
        <v>0</v>
      </c>
      <c r="O18" s="592">
        <v>0</v>
      </c>
      <c r="P18" s="593">
        <v>0</v>
      </c>
      <c r="Q18" s="592">
        <v>0</v>
      </c>
      <c r="R18" s="592">
        <v>0</v>
      </c>
      <c r="S18" s="485">
        <f t="shared" si="0"/>
        <v>3</v>
      </c>
      <c r="T18" s="588">
        <v>1</v>
      </c>
      <c r="U18" s="569">
        <v>2</v>
      </c>
      <c r="V18" s="588">
        <v>0</v>
      </c>
      <c r="W18" s="570">
        <v>0</v>
      </c>
      <c r="X18" s="1213" t="s">
        <v>1935</v>
      </c>
    </row>
    <row r="19" spans="1:24">
      <c r="A19" s="182" t="s">
        <v>1382</v>
      </c>
      <c r="B19" s="648"/>
      <c r="C19" s="648"/>
      <c r="D19" s="759"/>
      <c r="E19" s="760"/>
      <c r="F19" s="760"/>
      <c r="G19" s="760"/>
      <c r="H19" s="760"/>
      <c r="I19" s="760"/>
      <c r="J19" s="761"/>
      <c r="K19" s="762"/>
      <c r="L19" s="595"/>
      <c r="M19" s="596"/>
      <c r="N19" s="597"/>
      <c r="O19" s="595"/>
      <c r="P19" s="596"/>
      <c r="Q19" s="595"/>
      <c r="R19" s="595"/>
      <c r="S19" s="485">
        <f t="shared" si="0"/>
        <v>0</v>
      </c>
      <c r="T19" s="598"/>
      <c r="U19" s="595"/>
      <c r="V19" s="598"/>
      <c r="W19" s="596"/>
      <c r="X19" s="1213" t="s">
        <v>1939</v>
      </c>
    </row>
    <row r="20" spans="1:24">
      <c r="A20" s="181" t="s">
        <v>1383</v>
      </c>
      <c r="B20" s="648">
        <v>1</v>
      </c>
      <c r="C20" s="648">
        <v>0</v>
      </c>
      <c r="D20" s="759">
        <v>0</v>
      </c>
      <c r="E20" s="760">
        <v>0</v>
      </c>
      <c r="F20" s="760">
        <v>2</v>
      </c>
      <c r="G20" s="760">
        <v>0</v>
      </c>
      <c r="H20" s="760">
        <v>0</v>
      </c>
      <c r="I20" s="760">
        <v>0</v>
      </c>
      <c r="J20" s="761">
        <v>4</v>
      </c>
      <c r="K20" s="762">
        <v>0</v>
      </c>
      <c r="L20" s="595">
        <v>0</v>
      </c>
      <c r="M20" s="596">
        <v>0</v>
      </c>
      <c r="N20" s="597">
        <v>0</v>
      </c>
      <c r="O20" s="595">
        <v>0</v>
      </c>
      <c r="P20" s="596">
        <v>1</v>
      </c>
      <c r="Q20" s="595">
        <v>0</v>
      </c>
      <c r="R20" s="595">
        <v>0</v>
      </c>
      <c r="S20" s="485">
        <f t="shared" si="0"/>
        <v>8</v>
      </c>
      <c r="T20" s="598">
        <v>1</v>
      </c>
      <c r="U20" s="595">
        <v>7</v>
      </c>
      <c r="V20" s="598">
        <v>0</v>
      </c>
      <c r="W20" s="596">
        <v>0</v>
      </c>
      <c r="X20" s="1213" t="s">
        <v>1000</v>
      </c>
    </row>
    <row r="21" spans="1:24">
      <c r="A21" s="181" t="s">
        <v>1384</v>
      </c>
      <c r="B21" s="648">
        <v>4</v>
      </c>
      <c r="C21" s="648">
        <v>27</v>
      </c>
      <c r="D21" s="648">
        <v>1</v>
      </c>
      <c r="E21" s="760">
        <v>0</v>
      </c>
      <c r="F21" s="760">
        <v>0</v>
      </c>
      <c r="G21" s="760">
        <v>0</v>
      </c>
      <c r="H21" s="760">
        <v>0</v>
      </c>
      <c r="I21" s="763">
        <v>0</v>
      </c>
      <c r="J21" s="755">
        <v>10</v>
      </c>
      <c r="K21" s="756">
        <v>0</v>
      </c>
      <c r="L21" s="569">
        <v>0</v>
      </c>
      <c r="M21" s="570">
        <v>0</v>
      </c>
      <c r="N21" s="587">
        <v>0</v>
      </c>
      <c r="O21" s="569">
        <v>0</v>
      </c>
      <c r="P21" s="570">
        <v>4</v>
      </c>
      <c r="Q21" s="569">
        <v>1</v>
      </c>
      <c r="R21" s="569">
        <v>0</v>
      </c>
      <c r="S21" s="485">
        <f t="shared" si="0"/>
        <v>47</v>
      </c>
      <c r="T21" s="588">
        <v>17</v>
      </c>
      <c r="U21" s="569">
        <v>30</v>
      </c>
      <c r="V21" s="588">
        <v>0</v>
      </c>
      <c r="W21" s="570">
        <v>0</v>
      </c>
      <c r="X21" s="1213" t="s">
        <v>1851</v>
      </c>
    </row>
    <row r="22" spans="1:24">
      <c r="A22" s="764" t="s">
        <v>1915</v>
      </c>
      <c r="B22" s="765">
        <f t="shared" ref="B22:R22" si="1">SUM(B17:B21)</f>
        <v>5</v>
      </c>
      <c r="C22" s="765">
        <f t="shared" si="1"/>
        <v>27</v>
      </c>
      <c r="D22" s="765">
        <f t="shared" si="1"/>
        <v>1</v>
      </c>
      <c r="E22" s="765">
        <f t="shared" si="1"/>
        <v>0</v>
      </c>
      <c r="F22" s="765">
        <f t="shared" si="1"/>
        <v>2</v>
      </c>
      <c r="G22" s="765">
        <f t="shared" si="1"/>
        <v>0</v>
      </c>
      <c r="H22" s="765">
        <f t="shared" si="1"/>
        <v>0</v>
      </c>
      <c r="I22" s="765">
        <f t="shared" si="1"/>
        <v>0</v>
      </c>
      <c r="J22" s="766">
        <f t="shared" si="1"/>
        <v>17</v>
      </c>
      <c r="K22" s="767">
        <f t="shared" si="1"/>
        <v>0</v>
      </c>
      <c r="L22" s="486">
        <f t="shared" si="1"/>
        <v>0</v>
      </c>
      <c r="M22" s="486">
        <f t="shared" si="1"/>
        <v>0</v>
      </c>
      <c r="N22" s="487">
        <f t="shared" si="1"/>
        <v>0</v>
      </c>
      <c r="O22" s="486">
        <f t="shared" si="1"/>
        <v>0</v>
      </c>
      <c r="P22" s="488">
        <f t="shared" si="1"/>
        <v>5</v>
      </c>
      <c r="Q22" s="488">
        <f t="shared" si="1"/>
        <v>2</v>
      </c>
      <c r="R22" s="488">
        <f t="shared" si="1"/>
        <v>0</v>
      </c>
      <c r="S22" s="487">
        <f t="shared" si="0"/>
        <v>59</v>
      </c>
      <c r="T22" s="486">
        <f>SUM(T17:T21)</f>
        <v>20</v>
      </c>
      <c r="U22" s="487">
        <f>SUM(U17:U21)</f>
        <v>39</v>
      </c>
      <c r="V22" s="486">
        <f>SUM(V17:V21)</f>
        <v>0</v>
      </c>
      <c r="W22" s="488">
        <f>SUM(W17:W21)</f>
        <v>0</v>
      </c>
      <c r="X22" s="1213" t="s">
        <v>1852</v>
      </c>
    </row>
    <row r="23" spans="1:24">
      <c r="A23" s="156" t="s">
        <v>673</v>
      </c>
    </row>
    <row r="24" spans="1:24">
      <c r="A24" s="182" t="s">
        <v>1323</v>
      </c>
      <c r="B24" s="589">
        <v>0</v>
      </c>
      <c r="C24" s="589">
        <v>0</v>
      </c>
      <c r="D24" s="589">
        <v>0</v>
      </c>
      <c r="E24" s="570">
        <v>0</v>
      </c>
      <c r="F24" s="572">
        <v>0</v>
      </c>
      <c r="G24" s="572">
        <v>0</v>
      </c>
      <c r="H24" s="572">
        <v>0</v>
      </c>
      <c r="I24" s="572">
        <v>0</v>
      </c>
      <c r="J24" s="755">
        <v>1</v>
      </c>
      <c r="K24" s="756">
        <v>0</v>
      </c>
      <c r="L24" s="569">
        <v>0</v>
      </c>
      <c r="M24" s="570">
        <v>0</v>
      </c>
      <c r="N24" s="587">
        <v>0</v>
      </c>
      <c r="O24" s="1791">
        <v>0</v>
      </c>
      <c r="P24" s="1793">
        <v>1</v>
      </c>
      <c r="Q24" s="1794">
        <v>0</v>
      </c>
      <c r="R24" s="1791">
        <v>0</v>
      </c>
      <c r="S24" s="485">
        <f>SUM(B24:R24)</f>
        <v>2</v>
      </c>
      <c r="T24" s="1799">
        <v>1</v>
      </c>
      <c r="U24" s="1798">
        <v>1</v>
      </c>
      <c r="V24" s="1799">
        <v>0</v>
      </c>
      <c r="W24" s="1797">
        <v>0</v>
      </c>
      <c r="X24" s="1213" t="s">
        <v>1248</v>
      </c>
    </row>
    <row r="25" spans="1:24">
      <c r="A25" s="182" t="s">
        <v>705</v>
      </c>
      <c r="B25" s="589">
        <v>0</v>
      </c>
      <c r="C25" s="589">
        <v>0</v>
      </c>
      <c r="D25" s="589">
        <v>0</v>
      </c>
      <c r="E25" s="570">
        <v>0</v>
      </c>
      <c r="F25" s="572">
        <v>2</v>
      </c>
      <c r="G25" s="572">
        <v>0</v>
      </c>
      <c r="H25" s="572">
        <v>0</v>
      </c>
      <c r="I25" s="572">
        <v>0</v>
      </c>
      <c r="J25" s="755">
        <v>4</v>
      </c>
      <c r="K25" s="756">
        <v>0</v>
      </c>
      <c r="L25" s="569">
        <v>0</v>
      </c>
      <c r="M25" s="570">
        <v>0</v>
      </c>
      <c r="N25" s="587">
        <v>0</v>
      </c>
      <c r="O25" s="1791">
        <v>0</v>
      </c>
      <c r="P25" s="1793">
        <v>1</v>
      </c>
      <c r="Q25" s="1794">
        <v>0</v>
      </c>
      <c r="R25" s="1791">
        <v>0</v>
      </c>
      <c r="S25" s="485">
        <f t="shared" ref="S25:S41" si="2">SUM(B25:R25)</f>
        <v>7</v>
      </c>
      <c r="T25" s="1799">
        <v>7</v>
      </c>
      <c r="U25" s="1798">
        <v>0</v>
      </c>
      <c r="V25" s="1799">
        <v>0</v>
      </c>
      <c r="W25" s="1797">
        <v>0</v>
      </c>
      <c r="X25" s="1213" t="s">
        <v>1775</v>
      </c>
    </row>
    <row r="26" spans="1:24">
      <c r="A26" s="182" t="s">
        <v>1966</v>
      </c>
      <c r="B26" s="589">
        <v>2</v>
      </c>
      <c r="C26" s="589">
        <v>0</v>
      </c>
      <c r="D26" s="589">
        <v>0</v>
      </c>
      <c r="E26" s="570">
        <v>0</v>
      </c>
      <c r="F26" s="572">
        <v>0</v>
      </c>
      <c r="G26" s="572">
        <v>0</v>
      </c>
      <c r="H26" s="572">
        <v>0</v>
      </c>
      <c r="I26" s="572">
        <v>0</v>
      </c>
      <c r="J26" s="755">
        <v>2</v>
      </c>
      <c r="K26" s="756">
        <v>0</v>
      </c>
      <c r="L26" s="569">
        <v>0</v>
      </c>
      <c r="M26" s="570">
        <v>0</v>
      </c>
      <c r="N26" s="587">
        <v>0</v>
      </c>
      <c r="O26" s="1791">
        <v>0</v>
      </c>
      <c r="P26" s="1793">
        <v>0</v>
      </c>
      <c r="Q26" s="1794">
        <v>1</v>
      </c>
      <c r="R26" s="1791">
        <v>0</v>
      </c>
      <c r="S26" s="485">
        <f t="shared" si="2"/>
        <v>5</v>
      </c>
      <c r="T26" s="1799">
        <v>5</v>
      </c>
      <c r="U26" s="1798">
        <v>0</v>
      </c>
      <c r="V26" s="1799">
        <v>0</v>
      </c>
      <c r="W26" s="1797">
        <v>0</v>
      </c>
      <c r="X26" s="1213" t="s">
        <v>2200</v>
      </c>
    </row>
    <row r="27" spans="1:24">
      <c r="A27" s="182" t="s">
        <v>1385</v>
      </c>
      <c r="B27" s="589">
        <v>0</v>
      </c>
      <c r="C27" s="589">
        <v>0</v>
      </c>
      <c r="D27" s="589">
        <v>0</v>
      </c>
      <c r="E27" s="570">
        <v>0</v>
      </c>
      <c r="F27" s="572">
        <v>2</v>
      </c>
      <c r="G27" s="572">
        <v>0</v>
      </c>
      <c r="H27" s="572">
        <v>0</v>
      </c>
      <c r="I27" s="572">
        <v>0</v>
      </c>
      <c r="J27" s="755">
        <v>2</v>
      </c>
      <c r="K27" s="756">
        <v>0</v>
      </c>
      <c r="L27" s="569">
        <v>0</v>
      </c>
      <c r="M27" s="570">
        <v>0</v>
      </c>
      <c r="N27" s="587">
        <v>0</v>
      </c>
      <c r="O27" s="1791">
        <v>0</v>
      </c>
      <c r="P27" s="1793">
        <v>1</v>
      </c>
      <c r="Q27" s="1794">
        <v>0</v>
      </c>
      <c r="R27" s="1791">
        <v>0</v>
      </c>
      <c r="S27" s="485">
        <f t="shared" si="2"/>
        <v>5</v>
      </c>
      <c r="T27" s="1799">
        <v>4</v>
      </c>
      <c r="U27" s="1798">
        <v>1</v>
      </c>
      <c r="V27" s="1799">
        <v>0</v>
      </c>
      <c r="W27" s="1797">
        <v>0</v>
      </c>
      <c r="X27" s="1213" t="s">
        <v>2208</v>
      </c>
    </row>
    <row r="28" spans="1:24">
      <c r="A28" s="182" t="s">
        <v>1166</v>
      </c>
      <c r="B28" s="589">
        <v>3</v>
      </c>
      <c r="C28" s="589">
        <v>112</v>
      </c>
      <c r="D28" s="589">
        <v>0</v>
      </c>
      <c r="E28" s="596">
        <v>0</v>
      </c>
      <c r="F28" s="599">
        <v>0</v>
      </c>
      <c r="G28" s="599">
        <v>0</v>
      </c>
      <c r="H28" s="599">
        <v>0</v>
      </c>
      <c r="I28" s="599">
        <v>0</v>
      </c>
      <c r="J28" s="761">
        <v>11</v>
      </c>
      <c r="K28" s="762">
        <v>0</v>
      </c>
      <c r="L28" s="595">
        <v>0</v>
      </c>
      <c r="M28" s="596">
        <v>0</v>
      </c>
      <c r="N28" s="597">
        <v>0</v>
      </c>
      <c r="O28" s="1792">
        <v>0</v>
      </c>
      <c r="P28" s="1795">
        <v>10</v>
      </c>
      <c r="Q28" s="1796">
        <v>17</v>
      </c>
      <c r="R28" s="1792">
        <v>0</v>
      </c>
      <c r="S28" s="485">
        <f t="shared" si="2"/>
        <v>153</v>
      </c>
      <c r="T28" s="1799">
        <v>42</v>
      </c>
      <c r="U28" s="1800">
        <v>44</v>
      </c>
      <c r="V28" s="1801">
        <v>3</v>
      </c>
      <c r="W28" s="1802">
        <v>64</v>
      </c>
      <c r="X28" s="1213" t="s">
        <v>1242</v>
      </c>
    </row>
    <row r="29" spans="1:24">
      <c r="A29" s="182" t="s">
        <v>1310</v>
      </c>
      <c r="B29" s="589"/>
      <c r="C29" s="589"/>
      <c r="D29" s="589"/>
      <c r="E29" s="760"/>
      <c r="F29" s="760"/>
      <c r="G29" s="760"/>
      <c r="H29" s="760"/>
      <c r="I29" s="763"/>
      <c r="J29" s="755"/>
      <c r="K29" s="756"/>
      <c r="L29" s="569"/>
      <c r="M29" s="570"/>
      <c r="N29" s="587"/>
      <c r="O29" s="569"/>
      <c r="P29" s="570"/>
      <c r="Q29" s="569"/>
      <c r="R29" s="569"/>
      <c r="S29" s="485">
        <f t="shared" si="2"/>
        <v>0</v>
      </c>
      <c r="T29" s="588"/>
      <c r="U29" s="569"/>
      <c r="V29" s="588"/>
      <c r="W29" s="570"/>
      <c r="X29" s="1213" t="s">
        <v>1779</v>
      </c>
    </row>
    <row r="30" spans="1:24">
      <c r="A30" s="764" t="s">
        <v>673</v>
      </c>
      <c r="B30" s="488">
        <f>SUM(B24:B29)</f>
        <v>5</v>
      </c>
      <c r="C30" s="488">
        <f t="shared" ref="C30:R30" si="3">SUM(C24:C29)</f>
        <v>112</v>
      </c>
      <c r="D30" s="488">
        <f t="shared" si="3"/>
        <v>0</v>
      </c>
      <c r="E30" s="488">
        <f t="shared" si="3"/>
        <v>0</v>
      </c>
      <c r="F30" s="488">
        <f t="shared" si="3"/>
        <v>4</v>
      </c>
      <c r="G30" s="488">
        <f t="shared" si="3"/>
        <v>0</v>
      </c>
      <c r="H30" s="488">
        <f t="shared" si="3"/>
        <v>0</v>
      </c>
      <c r="I30" s="488">
        <f t="shared" si="3"/>
        <v>0</v>
      </c>
      <c r="J30" s="766">
        <f t="shared" si="3"/>
        <v>20</v>
      </c>
      <c r="K30" s="767">
        <f t="shared" si="3"/>
        <v>0</v>
      </c>
      <c r="L30" s="486">
        <f t="shared" si="3"/>
        <v>0</v>
      </c>
      <c r="M30" s="486">
        <f t="shared" si="3"/>
        <v>0</v>
      </c>
      <c r="N30" s="487">
        <f t="shared" si="3"/>
        <v>0</v>
      </c>
      <c r="O30" s="486">
        <f t="shared" si="3"/>
        <v>0</v>
      </c>
      <c r="P30" s="488">
        <f t="shared" si="3"/>
        <v>13</v>
      </c>
      <c r="Q30" s="488">
        <f t="shared" si="3"/>
        <v>18</v>
      </c>
      <c r="R30" s="488">
        <f t="shared" si="3"/>
        <v>0</v>
      </c>
      <c r="S30" s="487">
        <f t="shared" si="2"/>
        <v>172</v>
      </c>
      <c r="T30" s="489">
        <f>SUM(T24:T29)</f>
        <v>59</v>
      </c>
      <c r="U30" s="487">
        <f>SUM(U24:U29)</f>
        <v>46</v>
      </c>
      <c r="V30" s="489">
        <f>SUM(V24:V29)</f>
        <v>3</v>
      </c>
      <c r="W30" s="490">
        <f>SUM(W24:W29)</f>
        <v>64</v>
      </c>
      <c r="X30" s="1213" t="s">
        <v>1249</v>
      </c>
    </row>
    <row r="31" spans="1:24">
      <c r="A31" s="183" t="s">
        <v>1250</v>
      </c>
    </row>
    <row r="32" spans="1:24">
      <c r="A32" s="181" t="s">
        <v>1311</v>
      </c>
      <c r="B32" s="589"/>
      <c r="C32" s="589"/>
      <c r="D32" s="589"/>
      <c r="E32" s="570"/>
      <c r="F32" s="572"/>
      <c r="G32" s="572"/>
      <c r="H32" s="572"/>
      <c r="I32" s="572"/>
      <c r="J32" s="755"/>
      <c r="K32" s="756"/>
      <c r="L32" s="569"/>
      <c r="M32" s="570"/>
      <c r="N32" s="587"/>
      <c r="O32" s="1803"/>
      <c r="P32" s="1806"/>
      <c r="Q32" s="1807"/>
      <c r="R32" s="1803"/>
      <c r="S32" s="485">
        <f t="shared" si="2"/>
        <v>0</v>
      </c>
      <c r="T32" s="588"/>
      <c r="U32" s="569"/>
      <c r="V32" s="588"/>
      <c r="W32" s="570"/>
      <c r="X32" s="1213" t="s">
        <v>1258</v>
      </c>
    </row>
    <row r="33" spans="1:24">
      <c r="A33" s="182" t="s">
        <v>1312</v>
      </c>
      <c r="B33" s="589"/>
      <c r="C33" s="589"/>
      <c r="D33" s="589"/>
      <c r="E33" s="570"/>
      <c r="F33" s="572"/>
      <c r="G33" s="572"/>
      <c r="H33" s="572"/>
      <c r="I33" s="572"/>
      <c r="J33" s="755"/>
      <c r="K33" s="756"/>
      <c r="L33" s="569"/>
      <c r="M33" s="570"/>
      <c r="N33" s="587"/>
      <c r="O33" s="1803"/>
      <c r="P33" s="1806"/>
      <c r="Q33" s="1807"/>
      <c r="R33" s="1803"/>
      <c r="S33" s="485">
        <f t="shared" si="2"/>
        <v>0</v>
      </c>
      <c r="T33" s="588"/>
      <c r="U33" s="569"/>
      <c r="V33" s="588"/>
      <c r="W33" s="570"/>
      <c r="X33" s="1213" t="s">
        <v>1263</v>
      </c>
    </row>
    <row r="34" spans="1:24">
      <c r="A34" s="182" t="s">
        <v>1313</v>
      </c>
      <c r="B34" s="589"/>
      <c r="C34" s="589"/>
      <c r="D34" s="589"/>
      <c r="E34" s="570"/>
      <c r="F34" s="572"/>
      <c r="G34" s="572"/>
      <c r="H34" s="572"/>
      <c r="I34" s="572"/>
      <c r="J34" s="755"/>
      <c r="K34" s="756"/>
      <c r="L34" s="569"/>
      <c r="M34" s="570"/>
      <c r="N34" s="587"/>
      <c r="O34" s="1803"/>
      <c r="P34" s="1806">
        <v>0</v>
      </c>
      <c r="Q34" s="1807">
        <v>1</v>
      </c>
      <c r="R34" s="1803"/>
      <c r="S34" s="485">
        <f t="shared" si="2"/>
        <v>1</v>
      </c>
      <c r="T34" s="1804"/>
      <c r="U34" s="1803"/>
      <c r="V34" s="1810"/>
      <c r="W34" s="1811">
        <v>1</v>
      </c>
      <c r="X34" s="1213" t="s">
        <v>965</v>
      </c>
    </row>
    <row r="35" spans="1:24">
      <c r="A35" s="182" t="s">
        <v>1314</v>
      </c>
      <c r="B35" s="589">
        <v>1</v>
      </c>
      <c r="C35" s="589">
        <v>0</v>
      </c>
      <c r="D35" s="589">
        <v>0</v>
      </c>
      <c r="E35" s="570">
        <v>0</v>
      </c>
      <c r="F35" s="572">
        <v>0</v>
      </c>
      <c r="G35" s="572">
        <v>0</v>
      </c>
      <c r="H35" s="572">
        <v>0</v>
      </c>
      <c r="I35" s="572">
        <v>0</v>
      </c>
      <c r="J35" s="755">
        <v>0</v>
      </c>
      <c r="K35" s="756">
        <v>0</v>
      </c>
      <c r="L35" s="569">
        <v>0</v>
      </c>
      <c r="M35" s="570">
        <v>0</v>
      </c>
      <c r="N35" s="587">
        <v>0</v>
      </c>
      <c r="O35" s="1803">
        <v>0</v>
      </c>
      <c r="P35" s="1806">
        <v>0</v>
      </c>
      <c r="Q35" s="1807">
        <v>0</v>
      </c>
      <c r="R35" s="1803">
        <v>0</v>
      </c>
      <c r="S35" s="485">
        <f t="shared" si="2"/>
        <v>1</v>
      </c>
      <c r="T35" s="1804">
        <v>1</v>
      </c>
      <c r="U35" s="1803">
        <v>0</v>
      </c>
      <c r="V35" s="1810">
        <v>0</v>
      </c>
      <c r="W35" s="1809">
        <v>0</v>
      </c>
      <c r="X35" s="1213" t="s">
        <v>971</v>
      </c>
    </row>
    <row r="36" spans="1:24">
      <c r="A36" s="182" t="s">
        <v>751</v>
      </c>
      <c r="B36" s="589"/>
      <c r="C36" s="589"/>
      <c r="D36" s="589"/>
      <c r="E36" s="570"/>
      <c r="F36" s="572"/>
      <c r="G36" s="572"/>
      <c r="H36" s="572"/>
      <c r="I36" s="572"/>
      <c r="J36" s="755"/>
      <c r="K36" s="756"/>
      <c r="L36" s="569"/>
      <c r="M36" s="570"/>
      <c r="N36" s="587"/>
      <c r="O36" s="1803"/>
      <c r="P36" s="1806"/>
      <c r="Q36" s="1807"/>
      <c r="R36" s="1803"/>
      <c r="S36" s="485">
        <f t="shared" si="2"/>
        <v>0</v>
      </c>
      <c r="T36" s="1804"/>
      <c r="U36" s="1803"/>
      <c r="V36" s="1810"/>
      <c r="W36" s="1809"/>
      <c r="X36" s="1213" t="s">
        <v>1495</v>
      </c>
    </row>
    <row r="37" spans="1:24">
      <c r="A37" s="182" t="s">
        <v>752</v>
      </c>
      <c r="B37" s="589">
        <v>1</v>
      </c>
      <c r="C37" s="589">
        <v>0</v>
      </c>
      <c r="D37" s="589">
        <v>0</v>
      </c>
      <c r="E37" s="570">
        <v>0</v>
      </c>
      <c r="F37" s="572">
        <v>8</v>
      </c>
      <c r="G37" s="572">
        <v>0</v>
      </c>
      <c r="H37" s="572">
        <v>0</v>
      </c>
      <c r="I37" s="572">
        <v>0</v>
      </c>
      <c r="J37" s="755">
        <v>0</v>
      </c>
      <c r="K37" s="756">
        <v>0</v>
      </c>
      <c r="L37" s="569">
        <v>0</v>
      </c>
      <c r="M37" s="570">
        <v>0</v>
      </c>
      <c r="N37" s="587">
        <v>0</v>
      </c>
      <c r="O37" s="1803">
        <v>0</v>
      </c>
      <c r="P37" s="1806">
        <v>0</v>
      </c>
      <c r="Q37" s="1807">
        <v>1</v>
      </c>
      <c r="R37" s="1803">
        <v>0</v>
      </c>
      <c r="S37" s="485">
        <f t="shared" si="2"/>
        <v>10</v>
      </c>
      <c r="T37" s="1804">
        <v>4</v>
      </c>
      <c r="U37" s="1803">
        <v>5</v>
      </c>
      <c r="V37" s="1812">
        <v>1</v>
      </c>
      <c r="W37" s="1811">
        <v>0</v>
      </c>
      <c r="X37" s="1213" t="s">
        <v>425</v>
      </c>
    </row>
    <row r="38" spans="1:24">
      <c r="A38" s="182" t="s">
        <v>1025</v>
      </c>
      <c r="B38" s="589"/>
      <c r="C38" s="589"/>
      <c r="D38" s="589"/>
      <c r="E38" s="570"/>
      <c r="F38" s="572"/>
      <c r="G38" s="572"/>
      <c r="H38" s="572"/>
      <c r="I38" s="572"/>
      <c r="J38" s="755"/>
      <c r="K38" s="756"/>
      <c r="L38" s="569"/>
      <c r="M38" s="570"/>
      <c r="N38" s="587"/>
      <c r="O38" s="1803"/>
      <c r="P38" s="1806"/>
      <c r="Q38" s="1807"/>
      <c r="R38" s="1803"/>
      <c r="S38" s="485">
        <f t="shared" si="2"/>
        <v>0</v>
      </c>
      <c r="T38" s="1804"/>
      <c r="U38" s="1803"/>
      <c r="V38" s="1810"/>
      <c r="W38" s="1809"/>
      <c r="X38" s="1213" t="s">
        <v>71</v>
      </c>
    </row>
    <row r="39" spans="1:24">
      <c r="A39" s="182" t="s">
        <v>1026</v>
      </c>
      <c r="B39" s="589"/>
      <c r="C39" s="589"/>
      <c r="D39" s="589"/>
      <c r="E39" s="570"/>
      <c r="F39" s="572"/>
      <c r="G39" s="572"/>
      <c r="H39" s="572"/>
      <c r="I39" s="572"/>
      <c r="J39" s="755"/>
      <c r="K39" s="756"/>
      <c r="L39" s="569"/>
      <c r="M39" s="570"/>
      <c r="N39" s="587"/>
      <c r="O39" s="1805"/>
      <c r="P39" s="1806">
        <v>1</v>
      </c>
      <c r="Q39" s="1808"/>
      <c r="R39" s="1805"/>
      <c r="S39" s="485">
        <f t="shared" si="2"/>
        <v>1</v>
      </c>
      <c r="T39" s="1804"/>
      <c r="U39" s="1803"/>
      <c r="V39" s="1810"/>
      <c r="W39" s="1811">
        <v>1</v>
      </c>
      <c r="X39" s="1213" t="s">
        <v>366</v>
      </c>
    </row>
    <row r="40" spans="1:24">
      <c r="A40" s="182" t="s">
        <v>1027</v>
      </c>
      <c r="B40" s="589">
        <v>0</v>
      </c>
      <c r="C40" s="589">
        <v>5</v>
      </c>
      <c r="D40" s="589">
        <v>0</v>
      </c>
      <c r="E40" s="570">
        <v>0</v>
      </c>
      <c r="F40" s="572">
        <v>0</v>
      </c>
      <c r="G40" s="572">
        <v>0</v>
      </c>
      <c r="H40" s="572">
        <v>0</v>
      </c>
      <c r="I40" s="572">
        <v>0</v>
      </c>
      <c r="J40" s="755">
        <v>0</v>
      </c>
      <c r="K40" s="756">
        <v>0</v>
      </c>
      <c r="L40" s="569">
        <v>0</v>
      </c>
      <c r="M40" s="570">
        <v>0</v>
      </c>
      <c r="N40" s="587">
        <v>0</v>
      </c>
      <c r="O40" s="1803">
        <v>0</v>
      </c>
      <c r="P40" s="1806">
        <v>0</v>
      </c>
      <c r="Q40" s="1807">
        <v>0</v>
      </c>
      <c r="R40" s="1803">
        <v>0</v>
      </c>
      <c r="S40" s="485">
        <f t="shared" si="2"/>
        <v>5</v>
      </c>
      <c r="T40" s="588">
        <v>4</v>
      </c>
      <c r="U40" s="569">
        <v>1</v>
      </c>
      <c r="V40" s="588">
        <v>0</v>
      </c>
      <c r="W40" s="570">
        <v>0</v>
      </c>
      <c r="X40" s="1213" t="s">
        <v>374</v>
      </c>
    </row>
    <row r="41" spans="1:24">
      <c r="A41" s="764" t="s">
        <v>1250</v>
      </c>
      <c r="B41" s="488">
        <f t="shared" ref="B41:R41" si="4">SUM(B32:B40)</f>
        <v>2</v>
      </c>
      <c r="C41" s="488">
        <f t="shared" si="4"/>
        <v>5</v>
      </c>
      <c r="D41" s="488">
        <f t="shared" si="4"/>
        <v>0</v>
      </c>
      <c r="E41" s="488">
        <f t="shared" si="4"/>
        <v>0</v>
      </c>
      <c r="F41" s="488">
        <f t="shared" si="4"/>
        <v>8</v>
      </c>
      <c r="G41" s="488">
        <f t="shared" si="4"/>
        <v>0</v>
      </c>
      <c r="H41" s="488">
        <f t="shared" si="4"/>
        <v>0</v>
      </c>
      <c r="I41" s="488">
        <f t="shared" si="4"/>
        <v>0</v>
      </c>
      <c r="J41" s="768">
        <f t="shared" si="4"/>
        <v>0</v>
      </c>
      <c r="K41" s="769">
        <f t="shared" si="4"/>
        <v>0</v>
      </c>
      <c r="L41" s="489">
        <f t="shared" si="4"/>
        <v>0</v>
      </c>
      <c r="M41" s="489">
        <f t="shared" si="4"/>
        <v>0</v>
      </c>
      <c r="N41" s="487">
        <f t="shared" si="4"/>
        <v>0</v>
      </c>
      <c r="O41" s="486">
        <f t="shared" si="4"/>
        <v>0</v>
      </c>
      <c r="P41" s="490">
        <f t="shared" si="4"/>
        <v>1</v>
      </c>
      <c r="Q41" s="490">
        <f t="shared" si="4"/>
        <v>2</v>
      </c>
      <c r="R41" s="490">
        <f t="shared" si="4"/>
        <v>0</v>
      </c>
      <c r="S41" s="487">
        <f t="shared" si="2"/>
        <v>18</v>
      </c>
      <c r="T41" s="489">
        <f>SUM(T32:T40)</f>
        <v>9</v>
      </c>
      <c r="U41" s="487">
        <f>SUM(U32:U40)</f>
        <v>6</v>
      </c>
      <c r="V41" s="489">
        <f>SUM(V32:V40)</f>
        <v>1</v>
      </c>
      <c r="W41" s="490">
        <f>SUM(W32:W40)</f>
        <v>2</v>
      </c>
      <c r="X41" s="1213" t="s">
        <v>375</v>
      </c>
    </row>
    <row r="42" spans="1:24">
      <c r="A42" s="183" t="s">
        <v>376</v>
      </c>
    </row>
    <row r="43" spans="1:24">
      <c r="A43" s="184" t="s">
        <v>1109</v>
      </c>
      <c r="B43" s="589"/>
      <c r="C43" s="589"/>
      <c r="D43" s="589"/>
      <c r="E43" s="570"/>
      <c r="F43" s="572"/>
      <c r="G43" s="572"/>
      <c r="H43" s="572"/>
      <c r="I43" s="572"/>
      <c r="J43" s="755"/>
      <c r="K43" s="756"/>
      <c r="L43" s="569"/>
      <c r="M43" s="570"/>
      <c r="N43" s="587"/>
      <c r="O43" s="1814"/>
      <c r="P43" s="1813"/>
      <c r="Q43" s="1814"/>
      <c r="R43" s="1814"/>
      <c r="S43" s="485">
        <f>SUM(B43:R43)</f>
        <v>0</v>
      </c>
      <c r="T43" s="1819"/>
      <c r="U43" s="1818"/>
      <c r="V43" s="1819"/>
      <c r="W43" s="1817"/>
      <c r="X43" s="1213" t="s">
        <v>383</v>
      </c>
    </row>
    <row r="44" spans="1:24">
      <c r="A44" s="184" t="s">
        <v>1110</v>
      </c>
      <c r="B44" s="589"/>
      <c r="C44" s="589"/>
      <c r="D44" s="589"/>
      <c r="E44" s="570"/>
      <c r="F44" s="572"/>
      <c r="G44" s="572"/>
      <c r="H44" s="572"/>
      <c r="I44" s="572"/>
      <c r="J44" s="755"/>
      <c r="K44" s="756"/>
      <c r="L44" s="569"/>
      <c r="M44" s="570"/>
      <c r="N44" s="587"/>
      <c r="O44" s="1814"/>
      <c r="P44" s="1815">
        <v>1</v>
      </c>
      <c r="Q44" s="1816"/>
      <c r="R44" s="1814"/>
      <c r="S44" s="485">
        <f>SUM(B44:R44)</f>
        <v>1</v>
      </c>
      <c r="T44" s="1819"/>
      <c r="U44" s="1818"/>
      <c r="V44" s="1820">
        <v>1</v>
      </c>
      <c r="W44" s="1817"/>
      <c r="X44" s="1213" t="s">
        <v>1185</v>
      </c>
    </row>
    <row r="45" spans="1:24">
      <c r="A45" s="184" t="s">
        <v>1111</v>
      </c>
      <c r="B45" s="589">
        <v>0</v>
      </c>
      <c r="C45" s="589">
        <v>2</v>
      </c>
      <c r="D45" s="589">
        <v>0</v>
      </c>
      <c r="E45" s="570">
        <v>0</v>
      </c>
      <c r="F45" s="572">
        <v>0</v>
      </c>
      <c r="G45" s="572">
        <v>0</v>
      </c>
      <c r="H45" s="572">
        <v>0</v>
      </c>
      <c r="I45" s="572">
        <v>0</v>
      </c>
      <c r="J45" s="755">
        <v>0</v>
      </c>
      <c r="K45" s="756">
        <v>0</v>
      </c>
      <c r="L45" s="569">
        <v>0</v>
      </c>
      <c r="M45" s="570">
        <v>0</v>
      </c>
      <c r="N45" s="587">
        <v>0</v>
      </c>
      <c r="O45" s="569">
        <v>0</v>
      </c>
      <c r="P45" s="570">
        <v>0</v>
      </c>
      <c r="Q45" s="569">
        <v>0</v>
      </c>
      <c r="R45" s="569">
        <v>0</v>
      </c>
      <c r="S45" s="485">
        <f>SUM(B45:R45)</f>
        <v>2</v>
      </c>
      <c r="T45" s="588">
        <v>0</v>
      </c>
      <c r="U45" s="569">
        <v>2</v>
      </c>
      <c r="V45" s="588">
        <v>0</v>
      </c>
      <c r="W45" s="570">
        <v>0</v>
      </c>
      <c r="X45" s="1213" t="s">
        <v>1193</v>
      </c>
    </row>
    <row r="46" spans="1:24">
      <c r="A46" s="764" t="s">
        <v>376</v>
      </c>
      <c r="B46" s="488">
        <f t="shared" ref="B46:R46" si="5">SUM(B43:B45)</f>
        <v>0</v>
      </c>
      <c r="C46" s="488">
        <f t="shared" si="5"/>
        <v>2</v>
      </c>
      <c r="D46" s="488">
        <f t="shared" ref="D46:J46" si="6">SUM(D43:D45)</f>
        <v>0</v>
      </c>
      <c r="E46" s="488">
        <f t="shared" si="6"/>
        <v>0</v>
      </c>
      <c r="F46" s="488">
        <f t="shared" si="6"/>
        <v>0</v>
      </c>
      <c r="G46" s="488">
        <f t="shared" si="6"/>
        <v>0</v>
      </c>
      <c r="H46" s="488">
        <f t="shared" si="6"/>
        <v>0</v>
      </c>
      <c r="I46" s="488">
        <f t="shared" si="6"/>
        <v>0</v>
      </c>
      <c r="J46" s="488">
        <f t="shared" si="6"/>
        <v>0</v>
      </c>
      <c r="K46" s="767">
        <f t="shared" si="5"/>
        <v>0</v>
      </c>
      <c r="L46" s="486">
        <f t="shared" si="5"/>
        <v>0</v>
      </c>
      <c r="M46" s="486">
        <f t="shared" si="5"/>
        <v>0</v>
      </c>
      <c r="N46" s="487">
        <f t="shared" si="5"/>
        <v>0</v>
      </c>
      <c r="O46" s="486">
        <f t="shared" si="5"/>
        <v>0</v>
      </c>
      <c r="P46" s="488">
        <f t="shared" si="5"/>
        <v>1</v>
      </c>
      <c r="Q46" s="488">
        <f t="shared" si="5"/>
        <v>0</v>
      </c>
      <c r="R46" s="488">
        <f t="shared" si="5"/>
        <v>0</v>
      </c>
      <c r="S46" s="487">
        <f>SUM(B46:R46)</f>
        <v>3</v>
      </c>
      <c r="T46" s="486">
        <f>SUM(T43:T45)</f>
        <v>0</v>
      </c>
      <c r="U46" s="487">
        <f>SUM(U43:U45)</f>
        <v>2</v>
      </c>
      <c r="V46" s="486">
        <f>SUM(V43:V45)</f>
        <v>1</v>
      </c>
      <c r="W46" s="488">
        <f>SUM(W43:W45)</f>
        <v>0</v>
      </c>
      <c r="X46" s="1213" t="s">
        <v>1194</v>
      </c>
    </row>
    <row r="47" spans="1:24">
      <c r="A47" s="157" t="s">
        <v>1195</v>
      </c>
    </row>
    <row r="48" spans="1:24">
      <c r="A48" s="184" t="s">
        <v>1112</v>
      </c>
      <c r="B48" s="988"/>
      <c r="C48" s="988"/>
      <c r="D48" s="988"/>
      <c r="E48" s="770"/>
      <c r="F48" s="771"/>
      <c r="G48" s="771"/>
      <c r="H48" s="771"/>
      <c r="I48" s="771"/>
      <c r="J48" s="772"/>
      <c r="K48" s="773"/>
      <c r="L48" s="774"/>
      <c r="M48" s="770"/>
      <c r="N48" s="775"/>
      <c r="O48" s="1825"/>
      <c r="P48" s="1824"/>
      <c r="Q48" s="1825"/>
      <c r="R48" s="1825"/>
      <c r="S48" s="485">
        <f t="shared" ref="S48:S54" si="7">SUM(B48:R48)</f>
        <v>0</v>
      </c>
      <c r="T48" s="1835"/>
      <c r="U48" s="1836"/>
      <c r="V48" s="1835"/>
      <c r="W48" s="1837"/>
      <c r="X48" s="1213" t="s">
        <v>1203</v>
      </c>
    </row>
    <row r="49" spans="1:24">
      <c r="A49" s="184" t="s">
        <v>1113</v>
      </c>
      <c r="B49" s="613"/>
      <c r="C49" s="613"/>
      <c r="D49" s="613"/>
      <c r="E49" s="600"/>
      <c r="F49" s="601"/>
      <c r="G49" s="601"/>
      <c r="H49" s="601"/>
      <c r="I49" s="601"/>
      <c r="J49" s="779"/>
      <c r="K49" s="780"/>
      <c r="L49" s="602"/>
      <c r="M49" s="600"/>
      <c r="N49" s="603"/>
      <c r="O49" s="1827"/>
      <c r="P49" s="1826"/>
      <c r="Q49" s="1827"/>
      <c r="R49" s="1827"/>
      <c r="S49" s="485">
        <f t="shared" si="7"/>
        <v>0</v>
      </c>
      <c r="T49" s="1838"/>
      <c r="U49" s="1833"/>
      <c r="V49" s="1838"/>
      <c r="W49" s="1834"/>
      <c r="X49" s="1213" t="s">
        <v>1395</v>
      </c>
    </row>
    <row r="50" spans="1:24">
      <c r="A50" s="184" t="s">
        <v>1114</v>
      </c>
      <c r="B50" s="613"/>
      <c r="C50" s="613"/>
      <c r="D50" s="613"/>
      <c r="E50" s="600"/>
      <c r="F50" s="601"/>
      <c r="G50" s="601"/>
      <c r="H50" s="601"/>
      <c r="I50" s="601"/>
      <c r="J50" s="779"/>
      <c r="K50" s="780"/>
      <c r="L50" s="602"/>
      <c r="M50" s="600"/>
      <c r="N50" s="603"/>
      <c r="O50" s="1827"/>
      <c r="P50" s="1826"/>
      <c r="Q50" s="1827"/>
      <c r="R50" s="1827"/>
      <c r="S50" s="485">
        <f t="shared" si="7"/>
        <v>0</v>
      </c>
      <c r="T50" s="1838"/>
      <c r="U50" s="1833"/>
      <c r="V50" s="1838"/>
      <c r="W50" s="1834"/>
      <c r="X50" s="1213" t="s">
        <v>1396</v>
      </c>
    </row>
    <row r="51" spans="1:24">
      <c r="A51" s="184" t="s">
        <v>1945</v>
      </c>
      <c r="B51" s="589"/>
      <c r="C51" s="589"/>
      <c r="D51" s="589"/>
      <c r="E51" s="570"/>
      <c r="F51" s="572"/>
      <c r="G51" s="572"/>
      <c r="H51" s="572"/>
      <c r="I51" s="572"/>
      <c r="J51" s="755"/>
      <c r="K51" s="756"/>
      <c r="L51" s="569"/>
      <c r="M51" s="570"/>
      <c r="N51" s="587"/>
      <c r="O51" s="1822"/>
      <c r="P51" s="1821"/>
      <c r="Q51" s="1822"/>
      <c r="R51" s="1822"/>
      <c r="S51" s="485">
        <f t="shared" si="7"/>
        <v>0</v>
      </c>
      <c r="T51" s="1832"/>
      <c r="U51" s="1831"/>
      <c r="V51" s="1832"/>
      <c r="W51" s="1830"/>
      <c r="X51" s="1213" t="s">
        <v>1344</v>
      </c>
    </row>
    <row r="52" spans="1:24">
      <c r="A52" s="185" t="s">
        <v>1946</v>
      </c>
      <c r="B52" s="613">
        <v>1</v>
      </c>
      <c r="C52" s="613">
        <v>0</v>
      </c>
      <c r="D52" s="613">
        <v>0</v>
      </c>
      <c r="E52" s="606">
        <v>0</v>
      </c>
      <c r="F52" s="571">
        <v>25</v>
      </c>
      <c r="G52" s="571">
        <v>0</v>
      </c>
      <c r="H52" s="571">
        <v>0</v>
      </c>
      <c r="I52" s="571">
        <v>0</v>
      </c>
      <c r="J52" s="781">
        <v>0</v>
      </c>
      <c r="K52" s="782">
        <v>0</v>
      </c>
      <c r="L52" s="605">
        <v>0</v>
      </c>
      <c r="M52" s="606">
        <v>0</v>
      </c>
      <c r="N52" s="607">
        <v>0</v>
      </c>
      <c r="O52" s="1823">
        <v>0</v>
      </c>
      <c r="P52" s="1828">
        <v>3</v>
      </c>
      <c r="Q52" s="1829">
        <v>1</v>
      </c>
      <c r="R52" s="1823">
        <v>0</v>
      </c>
      <c r="S52" s="485">
        <f t="shared" si="7"/>
        <v>30</v>
      </c>
      <c r="T52" s="1832">
        <v>0</v>
      </c>
      <c r="U52" s="1840">
        <v>27</v>
      </c>
      <c r="V52" s="1832">
        <v>0</v>
      </c>
      <c r="W52" s="1839">
        <v>3</v>
      </c>
      <c r="X52" s="1213" t="s">
        <v>1350</v>
      </c>
    </row>
    <row r="53" spans="1:24">
      <c r="A53" s="184" t="s">
        <v>1947</v>
      </c>
      <c r="B53" s="989"/>
      <c r="C53" s="989"/>
      <c r="D53" s="989"/>
      <c r="E53" s="570"/>
      <c r="F53" s="572"/>
      <c r="G53" s="572"/>
      <c r="H53" s="572"/>
      <c r="I53" s="572"/>
      <c r="J53" s="755"/>
      <c r="K53" s="756"/>
      <c r="L53" s="569"/>
      <c r="M53" s="570"/>
      <c r="N53" s="587"/>
      <c r="O53" s="1822"/>
      <c r="P53" s="1821"/>
      <c r="Q53" s="1822"/>
      <c r="R53" s="1822"/>
      <c r="S53" s="485">
        <f t="shared" si="7"/>
        <v>0</v>
      </c>
      <c r="T53" s="1832"/>
      <c r="U53" s="1831"/>
      <c r="V53" s="1832"/>
      <c r="W53" s="1830"/>
      <c r="X53" s="1213" t="s">
        <v>1572</v>
      </c>
    </row>
    <row r="54" spans="1:24">
      <c r="A54" s="764" t="s">
        <v>1195</v>
      </c>
      <c r="B54" s="488">
        <f t="shared" ref="B54:R54" si="8">SUM(B48:B53)</f>
        <v>1</v>
      </c>
      <c r="C54" s="488">
        <f t="shared" si="8"/>
        <v>0</v>
      </c>
      <c r="D54" s="488">
        <f t="shared" si="8"/>
        <v>0</v>
      </c>
      <c r="E54" s="488">
        <f t="shared" si="8"/>
        <v>0</v>
      </c>
      <c r="F54" s="488">
        <f t="shared" si="8"/>
        <v>25</v>
      </c>
      <c r="G54" s="488">
        <f t="shared" si="8"/>
        <v>0</v>
      </c>
      <c r="H54" s="488">
        <f t="shared" si="8"/>
        <v>0</v>
      </c>
      <c r="I54" s="488">
        <f t="shared" si="8"/>
        <v>0</v>
      </c>
      <c r="J54" s="487">
        <f t="shared" si="8"/>
        <v>0</v>
      </c>
      <c r="K54" s="486">
        <f t="shared" si="8"/>
        <v>0</v>
      </c>
      <c r="L54" s="488">
        <f t="shared" si="8"/>
        <v>0</v>
      </c>
      <c r="M54" s="488">
        <f t="shared" si="8"/>
        <v>0</v>
      </c>
      <c r="N54" s="487">
        <f t="shared" si="8"/>
        <v>0</v>
      </c>
      <c r="O54" s="486">
        <f t="shared" si="8"/>
        <v>0</v>
      </c>
      <c r="P54" s="488">
        <f t="shared" si="8"/>
        <v>3</v>
      </c>
      <c r="Q54" s="488">
        <f t="shared" si="8"/>
        <v>1</v>
      </c>
      <c r="R54" s="488">
        <f t="shared" si="8"/>
        <v>0</v>
      </c>
      <c r="S54" s="487">
        <f t="shared" si="7"/>
        <v>30</v>
      </c>
      <c r="T54" s="489">
        <f>SUM(T48:T53)</f>
        <v>0</v>
      </c>
      <c r="U54" s="487">
        <f>SUM(U48:U53)</f>
        <v>27</v>
      </c>
      <c r="V54" s="489">
        <f>SUM(V48:V53)</f>
        <v>0</v>
      </c>
      <c r="W54" s="490">
        <f>SUM(W48:W53)</f>
        <v>3</v>
      </c>
      <c r="X54" s="1213" t="s">
        <v>1573</v>
      </c>
    </row>
    <row r="55" spans="1:24">
      <c r="A55" s="158" t="s">
        <v>1574</v>
      </c>
    </row>
    <row r="56" spans="1:24">
      <c r="A56" s="184" t="s">
        <v>1948</v>
      </c>
      <c r="B56" s="589"/>
      <c r="C56" s="589"/>
      <c r="D56" s="589"/>
      <c r="E56" s="570"/>
      <c r="F56" s="572"/>
      <c r="G56" s="572"/>
      <c r="H56" s="572"/>
      <c r="I56" s="572"/>
      <c r="J56" s="755"/>
      <c r="K56" s="756"/>
      <c r="L56" s="569"/>
      <c r="M56" s="570"/>
      <c r="N56" s="587"/>
      <c r="O56" s="1842"/>
      <c r="P56" s="1841"/>
      <c r="Q56" s="1842"/>
      <c r="R56" s="1842"/>
      <c r="S56" s="485">
        <f t="shared" ref="S56:S67" si="9">SUM(B56:R56)</f>
        <v>0</v>
      </c>
      <c r="T56" s="1847"/>
      <c r="U56" s="1846"/>
      <c r="V56" s="1847"/>
      <c r="W56" s="1845"/>
      <c r="X56" s="1213" t="s">
        <v>1583</v>
      </c>
    </row>
    <row r="57" spans="1:24">
      <c r="A57" s="184" t="s">
        <v>1949</v>
      </c>
      <c r="B57" s="589"/>
      <c r="C57" s="589"/>
      <c r="D57" s="589"/>
      <c r="E57" s="570"/>
      <c r="F57" s="572"/>
      <c r="G57" s="572"/>
      <c r="H57" s="572"/>
      <c r="I57" s="572"/>
      <c r="J57" s="755"/>
      <c r="K57" s="756"/>
      <c r="L57" s="569"/>
      <c r="M57" s="570"/>
      <c r="N57" s="587"/>
      <c r="O57" s="1842"/>
      <c r="P57" s="1841"/>
      <c r="Q57" s="1842"/>
      <c r="R57" s="1842"/>
      <c r="S57" s="485">
        <f t="shared" si="9"/>
        <v>0</v>
      </c>
      <c r="T57" s="1847"/>
      <c r="U57" s="1846"/>
      <c r="V57" s="1847"/>
      <c r="W57" s="1845"/>
      <c r="X57" s="1213" t="s">
        <v>1589</v>
      </c>
    </row>
    <row r="58" spans="1:24">
      <c r="A58" s="184" t="s">
        <v>1950</v>
      </c>
      <c r="B58" s="589"/>
      <c r="C58" s="589"/>
      <c r="D58" s="589"/>
      <c r="E58" s="570"/>
      <c r="F58" s="572"/>
      <c r="G58" s="572"/>
      <c r="H58" s="572"/>
      <c r="I58" s="572"/>
      <c r="J58" s="755"/>
      <c r="K58" s="756"/>
      <c r="L58" s="569"/>
      <c r="M58" s="570"/>
      <c r="N58" s="587"/>
      <c r="O58" s="1842"/>
      <c r="P58" s="1841"/>
      <c r="Q58" s="1842"/>
      <c r="R58" s="1842"/>
      <c r="S58" s="485">
        <f t="shared" si="9"/>
        <v>0</v>
      </c>
      <c r="T58" s="1847"/>
      <c r="U58" s="1846"/>
      <c r="V58" s="1847"/>
      <c r="W58" s="1845"/>
      <c r="X58" s="1213" t="s">
        <v>1594</v>
      </c>
    </row>
    <row r="59" spans="1:24">
      <c r="A59" s="184" t="s">
        <v>2232</v>
      </c>
      <c r="B59" s="589"/>
      <c r="C59" s="589"/>
      <c r="D59" s="589"/>
      <c r="E59" s="570"/>
      <c r="F59" s="572"/>
      <c r="G59" s="572"/>
      <c r="H59" s="572"/>
      <c r="I59" s="572"/>
      <c r="J59" s="755"/>
      <c r="K59" s="756"/>
      <c r="L59" s="569"/>
      <c r="M59" s="570"/>
      <c r="N59" s="587"/>
      <c r="O59" s="1842"/>
      <c r="P59" s="1841"/>
      <c r="Q59" s="1842"/>
      <c r="R59" s="1842"/>
      <c r="S59" s="485">
        <f t="shared" si="9"/>
        <v>0</v>
      </c>
      <c r="T59" s="1847"/>
      <c r="U59" s="1846"/>
      <c r="V59" s="1847"/>
      <c r="W59" s="1845"/>
      <c r="X59" s="1213" t="s">
        <v>1791</v>
      </c>
    </row>
    <row r="60" spans="1:24">
      <c r="A60" s="184" t="s">
        <v>141</v>
      </c>
      <c r="B60" s="589"/>
      <c r="C60" s="589"/>
      <c r="D60" s="589"/>
      <c r="E60" s="570"/>
      <c r="F60" s="572"/>
      <c r="G60" s="572"/>
      <c r="H60" s="572"/>
      <c r="I60" s="572"/>
      <c r="J60" s="755"/>
      <c r="K60" s="756"/>
      <c r="L60" s="569"/>
      <c r="M60" s="570"/>
      <c r="N60" s="587"/>
      <c r="O60" s="1842"/>
      <c r="P60" s="1841"/>
      <c r="Q60" s="1842"/>
      <c r="R60" s="1842"/>
      <c r="S60" s="485">
        <f t="shared" si="9"/>
        <v>0</v>
      </c>
      <c r="T60" s="1847"/>
      <c r="U60" s="1846"/>
      <c r="V60" s="1847"/>
      <c r="W60" s="1845"/>
      <c r="X60" s="1213" t="s">
        <v>1600</v>
      </c>
    </row>
    <row r="61" spans="1:24">
      <c r="A61" s="184" t="s">
        <v>1433</v>
      </c>
      <c r="B61" s="589">
        <v>3</v>
      </c>
      <c r="C61" s="589">
        <v>0</v>
      </c>
      <c r="D61" s="589">
        <v>0</v>
      </c>
      <c r="E61" s="570">
        <v>0</v>
      </c>
      <c r="F61" s="572">
        <v>1</v>
      </c>
      <c r="G61" s="572">
        <v>0</v>
      </c>
      <c r="H61" s="572">
        <v>0</v>
      </c>
      <c r="I61" s="572">
        <v>0</v>
      </c>
      <c r="J61" s="755">
        <v>0</v>
      </c>
      <c r="K61" s="756">
        <v>0</v>
      </c>
      <c r="L61" s="569">
        <v>0</v>
      </c>
      <c r="M61" s="570">
        <v>0</v>
      </c>
      <c r="N61" s="587">
        <v>0</v>
      </c>
      <c r="O61" s="1842">
        <v>0</v>
      </c>
      <c r="P61" s="1843">
        <v>1</v>
      </c>
      <c r="Q61" s="1844">
        <v>0</v>
      </c>
      <c r="R61" s="1842">
        <v>0</v>
      </c>
      <c r="S61" s="485">
        <f t="shared" si="9"/>
        <v>5</v>
      </c>
      <c r="T61" s="1847">
        <v>0</v>
      </c>
      <c r="U61" s="1846">
        <v>4</v>
      </c>
      <c r="V61" s="1847">
        <v>0</v>
      </c>
      <c r="W61" s="1848">
        <v>1</v>
      </c>
      <c r="X61" s="1213" t="s">
        <v>723</v>
      </c>
    </row>
    <row r="62" spans="1:24">
      <c r="A62" s="184" t="s">
        <v>1895</v>
      </c>
      <c r="B62" s="589"/>
      <c r="C62" s="589"/>
      <c r="D62" s="589"/>
      <c r="E62" s="570"/>
      <c r="F62" s="572"/>
      <c r="G62" s="572"/>
      <c r="H62" s="572"/>
      <c r="I62" s="572"/>
      <c r="J62" s="755"/>
      <c r="K62" s="756"/>
      <c r="L62" s="569"/>
      <c r="M62" s="570"/>
      <c r="N62" s="587"/>
      <c r="O62" s="1842"/>
      <c r="P62" s="1843"/>
      <c r="Q62" s="1844"/>
      <c r="R62" s="1842"/>
      <c r="S62" s="485">
        <f t="shared" si="9"/>
        <v>0</v>
      </c>
      <c r="T62" s="1847"/>
      <c r="U62" s="1846"/>
      <c r="V62" s="1847"/>
      <c r="W62" s="1845"/>
      <c r="X62" s="1213" t="s">
        <v>419</v>
      </c>
    </row>
    <row r="63" spans="1:24">
      <c r="A63" s="184" t="s">
        <v>1053</v>
      </c>
      <c r="B63" s="589"/>
      <c r="C63" s="589"/>
      <c r="D63" s="589"/>
      <c r="E63" s="570"/>
      <c r="F63" s="572"/>
      <c r="G63" s="572"/>
      <c r="H63" s="572"/>
      <c r="I63" s="572"/>
      <c r="J63" s="755"/>
      <c r="K63" s="756"/>
      <c r="L63" s="569"/>
      <c r="M63" s="570"/>
      <c r="N63" s="587"/>
      <c r="O63" s="1842"/>
      <c r="P63" s="1843"/>
      <c r="Q63" s="1844"/>
      <c r="R63" s="1842"/>
      <c r="S63" s="485">
        <f t="shared" si="9"/>
        <v>0</v>
      </c>
      <c r="T63" s="1847"/>
      <c r="U63" s="1846"/>
      <c r="V63" s="1847"/>
      <c r="W63" s="1845"/>
      <c r="X63" s="1213" t="s">
        <v>867</v>
      </c>
    </row>
    <row r="64" spans="1:24">
      <c r="A64" s="186" t="s">
        <v>1896</v>
      </c>
      <c r="B64" s="589"/>
      <c r="C64" s="589"/>
      <c r="D64" s="589"/>
      <c r="E64" s="570"/>
      <c r="F64" s="572"/>
      <c r="G64" s="572"/>
      <c r="H64" s="572"/>
      <c r="I64" s="572"/>
      <c r="J64" s="755"/>
      <c r="K64" s="756"/>
      <c r="L64" s="569"/>
      <c r="M64" s="570"/>
      <c r="N64" s="587"/>
      <c r="O64" s="1842"/>
      <c r="P64" s="1843"/>
      <c r="Q64" s="1844"/>
      <c r="R64" s="1842"/>
      <c r="S64" s="485">
        <f t="shared" si="9"/>
        <v>0</v>
      </c>
      <c r="T64" s="1847"/>
      <c r="U64" s="1846"/>
      <c r="V64" s="1847"/>
      <c r="W64" s="1845"/>
      <c r="X64" s="1213" t="s">
        <v>2113</v>
      </c>
    </row>
    <row r="65" spans="1:24">
      <c r="A65" s="184" t="s">
        <v>1897</v>
      </c>
      <c r="B65" s="589">
        <v>6</v>
      </c>
      <c r="C65" s="589">
        <v>0</v>
      </c>
      <c r="D65" s="589">
        <v>0</v>
      </c>
      <c r="E65" s="570">
        <v>0</v>
      </c>
      <c r="F65" s="572">
        <v>0</v>
      </c>
      <c r="G65" s="572">
        <v>0</v>
      </c>
      <c r="H65" s="572">
        <v>0</v>
      </c>
      <c r="I65" s="572">
        <v>0</v>
      </c>
      <c r="J65" s="755">
        <v>0</v>
      </c>
      <c r="K65" s="756">
        <v>0</v>
      </c>
      <c r="L65" s="569">
        <v>0</v>
      </c>
      <c r="M65" s="570">
        <v>0</v>
      </c>
      <c r="N65" s="587">
        <v>0</v>
      </c>
      <c r="O65" s="1842">
        <v>0</v>
      </c>
      <c r="P65" s="1843">
        <v>3</v>
      </c>
      <c r="Q65" s="1844">
        <v>3</v>
      </c>
      <c r="R65" s="1842">
        <v>0</v>
      </c>
      <c r="S65" s="485">
        <f t="shared" si="9"/>
        <v>12</v>
      </c>
      <c r="T65" s="1847">
        <v>0</v>
      </c>
      <c r="U65" s="1846">
        <v>7</v>
      </c>
      <c r="V65" s="1847">
        <v>0</v>
      </c>
      <c r="W65" s="1845">
        <v>5</v>
      </c>
      <c r="X65" s="1213" t="s">
        <v>2119</v>
      </c>
    </row>
    <row r="66" spans="1:24">
      <c r="A66" s="184" t="s">
        <v>1898</v>
      </c>
      <c r="B66" s="589"/>
      <c r="C66" s="589"/>
      <c r="D66" s="589"/>
      <c r="E66" s="570"/>
      <c r="F66" s="572"/>
      <c r="G66" s="572"/>
      <c r="H66" s="572"/>
      <c r="I66" s="572"/>
      <c r="J66" s="755"/>
      <c r="K66" s="756"/>
      <c r="L66" s="569"/>
      <c r="M66" s="570"/>
      <c r="N66" s="587"/>
      <c r="O66" s="1842"/>
      <c r="P66" s="1841"/>
      <c r="Q66" s="1842"/>
      <c r="R66" s="1842"/>
      <c r="S66" s="485">
        <f t="shared" si="9"/>
        <v>0</v>
      </c>
      <c r="T66" s="1847"/>
      <c r="U66" s="1846"/>
      <c r="V66" s="1847"/>
      <c r="W66" s="1845"/>
      <c r="X66" s="1213" t="s">
        <v>2125</v>
      </c>
    </row>
    <row r="67" spans="1:24">
      <c r="A67" s="764" t="s">
        <v>1574</v>
      </c>
      <c r="B67" s="783">
        <f t="shared" ref="B67:R67" si="10">SUM(B56:B66)</f>
        <v>9</v>
      </c>
      <c r="C67" s="783">
        <f t="shared" si="10"/>
        <v>0</v>
      </c>
      <c r="D67" s="783">
        <f t="shared" si="10"/>
        <v>0</v>
      </c>
      <c r="E67" s="783">
        <f t="shared" si="10"/>
        <v>0</v>
      </c>
      <c r="F67" s="783">
        <f t="shared" si="10"/>
        <v>1</v>
      </c>
      <c r="G67" s="783">
        <f t="shared" si="10"/>
        <v>0</v>
      </c>
      <c r="H67" s="783">
        <f t="shared" si="10"/>
        <v>0</v>
      </c>
      <c r="I67" s="783">
        <f t="shared" si="10"/>
        <v>0</v>
      </c>
      <c r="J67" s="787">
        <f t="shared" si="10"/>
        <v>0</v>
      </c>
      <c r="K67" s="786">
        <f t="shared" si="10"/>
        <v>0</v>
      </c>
      <c r="L67" s="783">
        <f t="shared" si="10"/>
        <v>0</v>
      </c>
      <c r="M67" s="783">
        <f t="shared" si="10"/>
        <v>0</v>
      </c>
      <c r="N67" s="787">
        <f t="shared" si="10"/>
        <v>0</v>
      </c>
      <c r="O67" s="786">
        <f t="shared" si="10"/>
        <v>0</v>
      </c>
      <c r="P67" s="783">
        <f t="shared" si="10"/>
        <v>4</v>
      </c>
      <c r="Q67" s="783">
        <f t="shared" si="10"/>
        <v>3</v>
      </c>
      <c r="R67" s="783">
        <f t="shared" si="10"/>
        <v>0</v>
      </c>
      <c r="S67" s="487">
        <f t="shared" si="9"/>
        <v>17</v>
      </c>
      <c r="T67" s="786">
        <f>SUM(T56:T66)</f>
        <v>0</v>
      </c>
      <c r="U67" s="787">
        <f>SUM(U56:U66)</f>
        <v>11</v>
      </c>
      <c r="V67" s="786">
        <f>SUM(V56:V66)</f>
        <v>0</v>
      </c>
      <c r="W67" s="783">
        <f>SUM(W56:W66)</f>
        <v>6</v>
      </c>
      <c r="X67" s="1213" t="s">
        <v>2126</v>
      </c>
    </row>
    <row r="68" spans="1:24">
      <c r="A68" s="159" t="s">
        <v>2127</v>
      </c>
    </row>
    <row r="69" spans="1:24">
      <c r="A69" s="378" t="s">
        <v>1899</v>
      </c>
      <c r="B69" s="990"/>
      <c r="C69" s="990"/>
      <c r="D69" s="990"/>
      <c r="E69" s="778"/>
      <c r="F69" s="788"/>
      <c r="G69" s="788"/>
      <c r="H69" s="788"/>
      <c r="I69" s="788"/>
      <c r="J69" s="789"/>
      <c r="K69" s="790"/>
      <c r="L69" s="777"/>
      <c r="M69" s="778"/>
      <c r="N69" s="791"/>
      <c r="O69" s="777"/>
      <c r="P69" s="778"/>
      <c r="Q69" s="777"/>
      <c r="R69" s="777"/>
      <c r="S69" s="485">
        <f>SUM(B69:R69)</f>
        <v>0</v>
      </c>
      <c r="T69" s="776"/>
      <c r="U69" s="777"/>
      <c r="V69" s="776"/>
      <c r="W69" s="778"/>
      <c r="X69" s="1213" t="s">
        <v>1640</v>
      </c>
    </row>
    <row r="70" spans="1:24">
      <c r="A70" s="184" t="s">
        <v>1900</v>
      </c>
      <c r="B70" s="991"/>
      <c r="C70" s="991"/>
      <c r="D70" s="991"/>
      <c r="E70" s="606"/>
      <c r="F70" s="571"/>
      <c r="G70" s="571"/>
      <c r="H70" s="571"/>
      <c r="I70" s="571"/>
      <c r="J70" s="781"/>
      <c r="K70" s="782"/>
      <c r="L70" s="605"/>
      <c r="M70" s="606"/>
      <c r="N70" s="607"/>
      <c r="O70" s="608"/>
      <c r="P70" s="606"/>
      <c r="Q70" s="570"/>
      <c r="R70" s="608"/>
      <c r="S70" s="485">
        <f>SUM(B70:R70)</f>
        <v>0</v>
      </c>
      <c r="T70" s="604"/>
      <c r="U70" s="605"/>
      <c r="V70" s="604"/>
      <c r="W70" s="606"/>
      <c r="X70" s="1213" t="s">
        <v>1648</v>
      </c>
    </row>
    <row r="71" spans="1:24">
      <c r="A71" s="764" t="s">
        <v>2127</v>
      </c>
      <c r="B71" s="783">
        <f t="shared" ref="B71:R71" si="11">SUM(B69:B70)</f>
        <v>0</v>
      </c>
      <c r="C71" s="783">
        <f t="shared" si="11"/>
        <v>0</v>
      </c>
      <c r="D71" s="783">
        <f t="shared" si="11"/>
        <v>0</v>
      </c>
      <c r="E71" s="783">
        <f t="shared" si="11"/>
        <v>0</v>
      </c>
      <c r="F71" s="783">
        <f t="shared" si="11"/>
        <v>0</v>
      </c>
      <c r="G71" s="783">
        <f t="shared" si="11"/>
        <v>0</v>
      </c>
      <c r="H71" s="783">
        <f t="shared" si="11"/>
        <v>0</v>
      </c>
      <c r="I71" s="783">
        <f t="shared" si="11"/>
        <v>0</v>
      </c>
      <c r="J71" s="787">
        <f t="shared" si="11"/>
        <v>0</v>
      </c>
      <c r="K71" s="786">
        <f t="shared" si="11"/>
        <v>0</v>
      </c>
      <c r="L71" s="783">
        <f t="shared" si="11"/>
        <v>0</v>
      </c>
      <c r="M71" s="783">
        <f t="shared" si="11"/>
        <v>0</v>
      </c>
      <c r="N71" s="787">
        <f t="shared" si="11"/>
        <v>0</v>
      </c>
      <c r="O71" s="786">
        <f t="shared" si="11"/>
        <v>0</v>
      </c>
      <c r="P71" s="783">
        <f t="shared" si="11"/>
        <v>0</v>
      </c>
      <c r="Q71" s="783">
        <f t="shared" si="11"/>
        <v>0</v>
      </c>
      <c r="R71" s="783">
        <f t="shared" si="11"/>
        <v>0</v>
      </c>
      <c r="S71" s="487">
        <f>SUM(B71:R71)</f>
        <v>0</v>
      </c>
      <c r="T71" s="792">
        <f>SUM(T69:T70)</f>
        <v>0</v>
      </c>
      <c r="U71" s="793">
        <f>SUM(U69:U70)</f>
        <v>0</v>
      </c>
      <c r="V71" s="792">
        <f>SUM(V69:V70)</f>
        <v>0</v>
      </c>
      <c r="W71" s="794">
        <f>SUM(W69:W70)</f>
        <v>0</v>
      </c>
      <c r="X71" s="1213" t="s">
        <v>1649</v>
      </c>
    </row>
    <row r="72" spans="1:24">
      <c r="A72" s="183" t="s">
        <v>1650</v>
      </c>
    </row>
    <row r="73" spans="1:24">
      <c r="A73" s="187" t="s">
        <v>1653</v>
      </c>
      <c r="B73" s="589"/>
      <c r="C73" s="589"/>
      <c r="D73" s="589"/>
      <c r="E73" s="570"/>
      <c r="F73" s="572"/>
      <c r="G73" s="572"/>
      <c r="H73" s="572"/>
      <c r="I73" s="572"/>
      <c r="J73" s="755"/>
      <c r="K73" s="756"/>
      <c r="L73" s="569"/>
      <c r="M73" s="570"/>
      <c r="N73" s="587"/>
      <c r="O73" s="1849"/>
      <c r="P73" s="1850"/>
      <c r="Q73" s="1851"/>
      <c r="R73" s="1849"/>
      <c r="S73" s="485">
        <f>SUM(B73:R73)</f>
        <v>0</v>
      </c>
      <c r="T73" s="1854"/>
      <c r="U73" s="1853"/>
      <c r="V73" s="1854"/>
      <c r="W73" s="1852"/>
      <c r="X73" s="1213" t="s">
        <v>1658</v>
      </c>
    </row>
    <row r="74" spans="1:24">
      <c r="A74" s="187" t="s">
        <v>2189</v>
      </c>
      <c r="B74" s="613">
        <v>3</v>
      </c>
      <c r="C74" s="613">
        <v>0</v>
      </c>
      <c r="D74" s="613">
        <v>0</v>
      </c>
      <c r="E74" s="570">
        <v>0</v>
      </c>
      <c r="F74" s="572">
        <v>0</v>
      </c>
      <c r="G74" s="572">
        <v>0</v>
      </c>
      <c r="H74" s="572">
        <v>0</v>
      </c>
      <c r="I74" s="572">
        <v>0</v>
      </c>
      <c r="J74" s="755">
        <v>0</v>
      </c>
      <c r="K74" s="756">
        <v>0</v>
      </c>
      <c r="L74" s="569">
        <v>0</v>
      </c>
      <c r="M74" s="570">
        <v>0</v>
      </c>
      <c r="N74" s="587">
        <v>0</v>
      </c>
      <c r="O74" s="1849">
        <v>0</v>
      </c>
      <c r="P74" s="1850">
        <v>1</v>
      </c>
      <c r="Q74" s="1851">
        <v>0</v>
      </c>
      <c r="R74" s="1849">
        <v>0</v>
      </c>
      <c r="S74" s="485">
        <f>SUM(B74:R74)</f>
        <v>4</v>
      </c>
      <c r="T74" s="1855">
        <v>4</v>
      </c>
      <c r="U74" s="1853">
        <v>0</v>
      </c>
      <c r="V74" s="1855">
        <v>0</v>
      </c>
      <c r="W74" s="1852">
        <v>0</v>
      </c>
      <c r="X74" s="1213" t="s">
        <v>302</v>
      </c>
    </row>
    <row r="75" spans="1:24">
      <c r="A75" s="184" t="s">
        <v>2190</v>
      </c>
      <c r="B75" s="613">
        <v>16</v>
      </c>
      <c r="C75" s="613">
        <v>0</v>
      </c>
      <c r="D75" s="613">
        <v>0</v>
      </c>
      <c r="E75" s="570">
        <v>0</v>
      </c>
      <c r="F75" s="572">
        <v>4</v>
      </c>
      <c r="G75" s="572">
        <v>0</v>
      </c>
      <c r="H75" s="572">
        <v>0</v>
      </c>
      <c r="I75" s="572">
        <v>0</v>
      </c>
      <c r="J75" s="755">
        <v>1</v>
      </c>
      <c r="K75" s="756">
        <v>0</v>
      </c>
      <c r="L75" s="569">
        <v>0</v>
      </c>
      <c r="M75" s="570">
        <v>0</v>
      </c>
      <c r="N75" s="587">
        <v>0</v>
      </c>
      <c r="O75" s="1849">
        <v>0</v>
      </c>
      <c r="P75" s="1850">
        <v>3</v>
      </c>
      <c r="Q75" s="1851">
        <v>0</v>
      </c>
      <c r="R75" s="1849">
        <v>0</v>
      </c>
      <c r="S75" s="485">
        <f>SUM(B75:R75)</f>
        <v>24</v>
      </c>
      <c r="T75" s="1854">
        <v>14</v>
      </c>
      <c r="U75" s="1853">
        <v>7</v>
      </c>
      <c r="V75" s="1855">
        <v>3</v>
      </c>
      <c r="W75" s="1852">
        <v>0</v>
      </c>
      <c r="X75" s="1213" t="s">
        <v>309</v>
      </c>
    </row>
    <row r="76" spans="1:24">
      <c r="A76" s="184" t="s">
        <v>2191</v>
      </c>
      <c r="B76" s="589"/>
      <c r="C76" s="589"/>
      <c r="D76" s="589"/>
      <c r="E76" s="570"/>
      <c r="F76" s="572"/>
      <c r="G76" s="572"/>
      <c r="H76" s="572"/>
      <c r="I76" s="572"/>
      <c r="J76" s="755"/>
      <c r="K76" s="756"/>
      <c r="L76" s="569"/>
      <c r="M76" s="570"/>
      <c r="N76" s="587"/>
      <c r="O76" s="1849"/>
      <c r="P76" s="1850"/>
      <c r="Q76" s="1851"/>
      <c r="R76" s="1849"/>
      <c r="S76" s="485">
        <f>SUM(B76:R76)</f>
        <v>0</v>
      </c>
      <c r="T76" s="1854"/>
      <c r="U76" s="1853"/>
      <c r="V76" s="1854"/>
      <c r="W76" s="1852"/>
      <c r="X76" s="1213" t="s">
        <v>315</v>
      </c>
    </row>
    <row r="77" spans="1:24">
      <c r="A77" s="764" t="s">
        <v>1650</v>
      </c>
      <c r="B77" s="783">
        <f t="shared" ref="B77:R77" si="12">SUM(B73:B76)</f>
        <v>19</v>
      </c>
      <c r="C77" s="783">
        <f t="shared" si="12"/>
        <v>0</v>
      </c>
      <c r="D77" s="783">
        <f t="shared" si="12"/>
        <v>0</v>
      </c>
      <c r="E77" s="783">
        <f t="shared" si="12"/>
        <v>0</v>
      </c>
      <c r="F77" s="783">
        <f t="shared" si="12"/>
        <v>4</v>
      </c>
      <c r="G77" s="783">
        <f t="shared" si="12"/>
        <v>0</v>
      </c>
      <c r="H77" s="783">
        <f t="shared" si="12"/>
        <v>0</v>
      </c>
      <c r="I77" s="783">
        <f t="shared" si="12"/>
        <v>0</v>
      </c>
      <c r="J77" s="487">
        <f t="shared" si="12"/>
        <v>1</v>
      </c>
      <c r="K77" s="786">
        <f t="shared" si="12"/>
        <v>0</v>
      </c>
      <c r="L77" s="783">
        <f t="shared" si="12"/>
        <v>0</v>
      </c>
      <c r="M77" s="783">
        <f t="shared" si="12"/>
        <v>0</v>
      </c>
      <c r="N77" s="487">
        <f t="shared" si="12"/>
        <v>0</v>
      </c>
      <c r="O77" s="786">
        <f t="shared" si="12"/>
        <v>0</v>
      </c>
      <c r="P77" s="783">
        <f t="shared" si="12"/>
        <v>4</v>
      </c>
      <c r="Q77" s="783">
        <f t="shared" si="12"/>
        <v>0</v>
      </c>
      <c r="R77" s="783">
        <f t="shared" si="12"/>
        <v>0</v>
      </c>
      <c r="S77" s="487">
        <f>SUM(B77:R77)</f>
        <v>28</v>
      </c>
      <c r="T77" s="489">
        <f>SUM(T73:T76)</f>
        <v>18</v>
      </c>
      <c r="U77" s="487">
        <f>SUM(U73:U76)</f>
        <v>7</v>
      </c>
      <c r="V77" s="489">
        <f>SUM(V73:V76)</f>
        <v>3</v>
      </c>
      <c r="W77" s="490">
        <f>SUM(W73:W76)</f>
        <v>0</v>
      </c>
      <c r="X77" s="1213" t="s">
        <v>316</v>
      </c>
    </row>
    <row r="78" spans="1:24">
      <c r="A78" s="158"/>
    </row>
    <row r="79" spans="1:24">
      <c r="A79" s="185" t="s">
        <v>1430</v>
      </c>
      <c r="B79" s="992"/>
      <c r="C79" s="992"/>
      <c r="D79" s="992"/>
      <c r="E79" s="596"/>
      <c r="F79" s="599"/>
      <c r="G79" s="599"/>
      <c r="H79" s="599"/>
      <c r="I79" s="599"/>
      <c r="J79" s="761"/>
      <c r="K79" s="795"/>
      <c r="L79" s="595"/>
      <c r="M79" s="596"/>
      <c r="N79" s="597"/>
      <c r="O79" s="595"/>
      <c r="P79" s="596"/>
      <c r="Q79" s="595"/>
      <c r="R79" s="595"/>
      <c r="S79" s="485">
        <f t="shared" ref="S79:S87" si="13">SUM(B79:R79)</f>
        <v>0</v>
      </c>
      <c r="T79" s="598"/>
      <c r="U79" s="595"/>
      <c r="V79" s="598"/>
      <c r="W79" s="596"/>
      <c r="X79" s="1213" t="s">
        <v>1800</v>
      </c>
    </row>
    <row r="80" spans="1:24">
      <c r="A80" s="184" t="s">
        <v>1431</v>
      </c>
      <c r="B80" s="993"/>
      <c r="C80" s="993"/>
      <c r="D80" s="993"/>
      <c r="E80" s="760"/>
      <c r="F80" s="760"/>
      <c r="G80" s="760"/>
      <c r="H80" s="760"/>
      <c r="I80" s="763"/>
      <c r="J80" s="796"/>
      <c r="K80" s="797"/>
      <c r="L80" s="798"/>
      <c r="M80" s="760"/>
      <c r="N80" s="799"/>
      <c r="O80" s="760"/>
      <c r="P80" s="760"/>
      <c r="Q80" s="760"/>
      <c r="R80" s="760"/>
      <c r="S80" s="981">
        <f t="shared" si="13"/>
        <v>0</v>
      </c>
      <c r="T80" s="798"/>
      <c r="U80" s="799"/>
      <c r="V80" s="800"/>
      <c r="W80" s="760"/>
      <c r="X80" s="1213" t="s">
        <v>2220</v>
      </c>
    </row>
    <row r="81" spans="1:24">
      <c r="A81" s="211" t="s">
        <v>233</v>
      </c>
      <c r="B81" s="994"/>
      <c r="C81" s="994"/>
      <c r="D81" s="994"/>
      <c r="E81" s="778"/>
      <c r="F81" s="788"/>
      <c r="G81" s="788"/>
      <c r="H81" s="788"/>
      <c r="I81" s="788"/>
      <c r="J81" s="789"/>
      <c r="K81" s="790"/>
      <c r="L81" s="777"/>
      <c r="M81" s="778"/>
      <c r="N81" s="791"/>
      <c r="O81" s="777"/>
      <c r="P81" s="778"/>
      <c r="Q81" s="777"/>
      <c r="R81" s="777"/>
      <c r="S81" s="485">
        <f t="shared" si="13"/>
        <v>0</v>
      </c>
      <c r="T81" s="604"/>
      <c r="U81" s="605"/>
      <c r="V81" s="604"/>
      <c r="W81" s="606"/>
      <c r="X81" s="1213" t="s">
        <v>2227</v>
      </c>
    </row>
    <row r="82" spans="1:24">
      <c r="A82" s="212" t="s">
        <v>234</v>
      </c>
      <c r="B82" s="995"/>
      <c r="C82" s="995"/>
      <c r="D82" s="995"/>
      <c r="E82" s="570"/>
      <c r="F82" s="572"/>
      <c r="G82" s="572"/>
      <c r="H82" s="572"/>
      <c r="I82" s="572"/>
      <c r="J82" s="755"/>
      <c r="K82" s="756"/>
      <c r="L82" s="569"/>
      <c r="M82" s="570"/>
      <c r="N82" s="587"/>
      <c r="O82" s="609"/>
      <c r="P82" s="570"/>
      <c r="Q82" s="569"/>
      <c r="R82" s="569"/>
      <c r="S82" s="485">
        <f t="shared" si="13"/>
        <v>0</v>
      </c>
      <c r="T82" s="604"/>
      <c r="U82" s="605"/>
      <c r="V82" s="604"/>
      <c r="W82" s="606"/>
      <c r="X82" s="1213" t="s">
        <v>1065</v>
      </c>
    </row>
    <row r="83" spans="1:24">
      <c r="A83" s="187" t="s">
        <v>2233</v>
      </c>
      <c r="B83" s="995"/>
      <c r="C83" s="995"/>
      <c r="D83" s="995"/>
      <c r="E83" s="570"/>
      <c r="F83" s="572"/>
      <c r="G83" s="572"/>
      <c r="H83" s="572"/>
      <c r="I83" s="572"/>
      <c r="J83" s="755"/>
      <c r="K83" s="756"/>
      <c r="L83" s="569"/>
      <c r="M83" s="570"/>
      <c r="N83" s="587"/>
      <c r="O83" s="609"/>
      <c r="P83" s="570"/>
      <c r="Q83" s="569"/>
      <c r="R83" s="569"/>
      <c r="S83" s="485">
        <f t="shared" si="13"/>
        <v>0</v>
      </c>
      <c r="T83" s="604"/>
      <c r="U83" s="605"/>
      <c r="V83" s="604"/>
      <c r="W83" s="606"/>
      <c r="X83" s="1213" t="s">
        <v>1807</v>
      </c>
    </row>
    <row r="84" spans="1:24">
      <c r="A84" s="187" t="s">
        <v>1896</v>
      </c>
      <c r="B84" s="995"/>
      <c r="C84" s="995"/>
      <c r="D84" s="995"/>
      <c r="E84" s="570"/>
      <c r="F84" s="572"/>
      <c r="G84" s="572"/>
      <c r="H84" s="572"/>
      <c r="I84" s="572"/>
      <c r="J84" s="755"/>
      <c r="K84" s="756"/>
      <c r="L84" s="569"/>
      <c r="M84" s="570"/>
      <c r="N84" s="587"/>
      <c r="O84" s="609"/>
      <c r="P84" s="570"/>
      <c r="Q84" s="569"/>
      <c r="R84" s="569"/>
      <c r="S84" s="485">
        <f t="shared" si="13"/>
        <v>0</v>
      </c>
      <c r="T84" s="604"/>
      <c r="U84" s="605"/>
      <c r="V84" s="604"/>
      <c r="W84" s="606"/>
      <c r="X84" s="1213" t="s">
        <v>1812</v>
      </c>
    </row>
    <row r="85" spans="1:24">
      <c r="A85" s="187" t="s">
        <v>236</v>
      </c>
      <c r="B85" s="589"/>
      <c r="C85" s="589"/>
      <c r="D85" s="589"/>
      <c r="E85" s="573"/>
      <c r="F85" s="610"/>
      <c r="G85" s="610"/>
      <c r="H85" s="610"/>
      <c r="I85" s="610"/>
      <c r="J85" s="801"/>
      <c r="K85" s="802"/>
      <c r="L85" s="574"/>
      <c r="M85" s="573"/>
      <c r="N85" s="611"/>
      <c r="O85" s="612"/>
      <c r="P85" s="573"/>
      <c r="Q85" s="573"/>
      <c r="R85" s="612"/>
      <c r="S85" s="485">
        <f t="shared" si="13"/>
        <v>0</v>
      </c>
      <c r="T85" s="588"/>
      <c r="U85" s="569"/>
      <c r="V85" s="588"/>
      <c r="W85" s="570"/>
      <c r="X85" s="1213" t="s">
        <v>1073</v>
      </c>
    </row>
    <row r="86" spans="1:24">
      <c r="A86" s="184" t="s">
        <v>237</v>
      </c>
      <c r="B86" s="589"/>
      <c r="C86" s="589"/>
      <c r="D86" s="589"/>
      <c r="E86" s="573"/>
      <c r="F86" s="610"/>
      <c r="G86" s="610"/>
      <c r="H86" s="610"/>
      <c r="I86" s="610"/>
      <c r="J86" s="801"/>
      <c r="K86" s="802"/>
      <c r="L86" s="574"/>
      <c r="M86" s="573"/>
      <c r="N86" s="611"/>
      <c r="O86" s="612"/>
      <c r="P86" s="573"/>
      <c r="Q86" s="573"/>
      <c r="R86" s="612"/>
      <c r="S86" s="485">
        <f t="shared" si="13"/>
        <v>0</v>
      </c>
      <c r="T86" s="588"/>
      <c r="U86" s="569"/>
      <c r="V86" s="588"/>
      <c r="W86" s="570"/>
      <c r="X86" s="1213" t="s">
        <v>1079</v>
      </c>
    </row>
    <row r="87" spans="1:24">
      <c r="A87" s="764" t="s">
        <v>1080</v>
      </c>
      <c r="B87" s="490">
        <f t="shared" ref="B87:R87" si="14">SUM(B79:B86)</f>
        <v>0</v>
      </c>
      <c r="C87" s="490">
        <f t="shared" si="14"/>
        <v>0</v>
      </c>
      <c r="D87" s="490">
        <f t="shared" si="14"/>
        <v>0</v>
      </c>
      <c r="E87" s="490">
        <f t="shared" si="14"/>
        <v>0</v>
      </c>
      <c r="F87" s="490">
        <f t="shared" si="14"/>
        <v>0</v>
      </c>
      <c r="G87" s="490">
        <f t="shared" si="14"/>
        <v>0</v>
      </c>
      <c r="H87" s="490">
        <f t="shared" si="14"/>
        <v>0</v>
      </c>
      <c r="I87" s="490">
        <f t="shared" si="14"/>
        <v>0</v>
      </c>
      <c r="J87" s="487">
        <f t="shared" si="14"/>
        <v>0</v>
      </c>
      <c r="K87" s="489">
        <f t="shared" si="14"/>
        <v>0</v>
      </c>
      <c r="L87" s="490">
        <f t="shared" si="14"/>
        <v>0</v>
      </c>
      <c r="M87" s="490">
        <f t="shared" si="14"/>
        <v>0</v>
      </c>
      <c r="N87" s="487">
        <f t="shared" si="14"/>
        <v>0</v>
      </c>
      <c r="O87" s="489">
        <f t="shared" si="14"/>
        <v>0</v>
      </c>
      <c r="P87" s="490">
        <f t="shared" si="14"/>
        <v>0</v>
      </c>
      <c r="Q87" s="490">
        <f t="shared" si="14"/>
        <v>0</v>
      </c>
      <c r="R87" s="490">
        <f t="shared" si="14"/>
        <v>0</v>
      </c>
      <c r="S87" s="487">
        <f t="shared" si="13"/>
        <v>0</v>
      </c>
      <c r="T87" s="489">
        <f>SUM(T79:T86)</f>
        <v>0</v>
      </c>
      <c r="U87" s="487">
        <f>SUM(U79:U86)</f>
        <v>0</v>
      </c>
      <c r="V87" s="489">
        <f>SUM(V79:V86)</f>
        <v>0</v>
      </c>
      <c r="W87" s="490">
        <f>SUM(W79:W86)</f>
        <v>0</v>
      </c>
      <c r="X87" s="1213" t="s">
        <v>1081</v>
      </c>
    </row>
    <row r="88" spans="1:24">
      <c r="A88" s="157" t="s">
        <v>1082</v>
      </c>
    </row>
    <row r="89" spans="1:24">
      <c r="A89" s="184" t="s">
        <v>238</v>
      </c>
      <c r="B89" s="995"/>
      <c r="C89" s="995"/>
      <c r="D89" s="995"/>
      <c r="E89" s="570"/>
      <c r="F89" s="572"/>
      <c r="G89" s="572"/>
      <c r="H89" s="572"/>
      <c r="I89" s="572"/>
      <c r="J89" s="755"/>
      <c r="K89" s="756"/>
      <c r="L89" s="569"/>
      <c r="M89" s="570"/>
      <c r="N89" s="587"/>
      <c r="O89" s="569"/>
      <c r="P89" s="570"/>
      <c r="Q89" s="569"/>
      <c r="R89" s="569"/>
      <c r="S89" s="485">
        <f>SUM(B89:R89)</f>
        <v>0</v>
      </c>
      <c r="T89" s="588"/>
      <c r="U89" s="569"/>
      <c r="V89" s="588"/>
      <c r="W89" s="570"/>
      <c r="X89" s="1213" t="s">
        <v>685</v>
      </c>
    </row>
    <row r="90" spans="1:24">
      <c r="A90" s="184" t="s">
        <v>239</v>
      </c>
      <c r="B90" s="995">
        <v>9</v>
      </c>
      <c r="C90" s="995">
        <v>4</v>
      </c>
      <c r="D90" s="995">
        <v>0</v>
      </c>
      <c r="E90" s="570">
        <v>0</v>
      </c>
      <c r="F90" s="572">
        <v>0</v>
      </c>
      <c r="G90" s="572">
        <v>0</v>
      </c>
      <c r="H90" s="572">
        <v>0</v>
      </c>
      <c r="I90" s="572">
        <v>0</v>
      </c>
      <c r="J90" s="755">
        <v>1</v>
      </c>
      <c r="K90" s="756">
        <v>0</v>
      </c>
      <c r="L90" s="569">
        <v>0</v>
      </c>
      <c r="M90" s="570">
        <v>0</v>
      </c>
      <c r="N90" s="587">
        <v>0</v>
      </c>
      <c r="O90" s="569">
        <v>0</v>
      </c>
      <c r="P90" s="570">
        <v>0</v>
      </c>
      <c r="Q90" s="569">
        <v>0</v>
      </c>
      <c r="R90" s="569">
        <v>0</v>
      </c>
      <c r="S90" s="485">
        <f>SUM(B90:R90)</f>
        <v>14</v>
      </c>
      <c r="T90" s="588">
        <v>4</v>
      </c>
      <c r="U90" s="569">
        <v>10</v>
      </c>
      <c r="V90" s="588">
        <v>0</v>
      </c>
      <c r="W90" s="570">
        <v>0</v>
      </c>
      <c r="X90" s="1213" t="s">
        <v>693</v>
      </c>
    </row>
    <row r="91" spans="1:24">
      <c r="A91" s="764" t="s">
        <v>1082</v>
      </c>
      <c r="B91" s="490">
        <f t="shared" ref="B91:R91" si="15">SUM(B89:B90)</f>
        <v>9</v>
      </c>
      <c r="C91" s="490">
        <f t="shared" si="15"/>
        <v>4</v>
      </c>
      <c r="D91" s="490">
        <f t="shared" si="15"/>
        <v>0</v>
      </c>
      <c r="E91" s="490">
        <f t="shared" si="15"/>
        <v>0</v>
      </c>
      <c r="F91" s="490">
        <f t="shared" si="15"/>
        <v>0</v>
      </c>
      <c r="G91" s="490">
        <f t="shared" si="15"/>
        <v>0</v>
      </c>
      <c r="H91" s="490">
        <f t="shared" si="15"/>
        <v>0</v>
      </c>
      <c r="I91" s="490">
        <f t="shared" si="15"/>
        <v>0</v>
      </c>
      <c r="J91" s="487">
        <f t="shared" si="15"/>
        <v>1</v>
      </c>
      <c r="K91" s="489">
        <f t="shared" si="15"/>
        <v>0</v>
      </c>
      <c r="L91" s="490">
        <f t="shared" si="15"/>
        <v>0</v>
      </c>
      <c r="M91" s="490">
        <f t="shared" si="15"/>
        <v>0</v>
      </c>
      <c r="N91" s="487">
        <f t="shared" si="15"/>
        <v>0</v>
      </c>
      <c r="O91" s="489">
        <f t="shared" si="15"/>
        <v>0</v>
      </c>
      <c r="P91" s="490">
        <f t="shared" si="15"/>
        <v>0</v>
      </c>
      <c r="Q91" s="490">
        <f t="shared" si="15"/>
        <v>0</v>
      </c>
      <c r="R91" s="490">
        <f t="shared" si="15"/>
        <v>0</v>
      </c>
      <c r="S91" s="487">
        <f>SUM(B91:R91)</f>
        <v>14</v>
      </c>
      <c r="T91" s="489">
        <f>SUM(T89:T90)</f>
        <v>4</v>
      </c>
      <c r="U91" s="487">
        <f>SUM(U89:U90)</f>
        <v>10</v>
      </c>
      <c r="V91" s="489">
        <f>SUM(V89:V90)</f>
        <v>0</v>
      </c>
      <c r="W91" s="490">
        <f>SUM(W89:W90)</f>
        <v>0</v>
      </c>
      <c r="X91" s="1213" t="s">
        <v>694</v>
      </c>
    </row>
    <row r="93" spans="1:24">
      <c r="A93" s="764" t="s">
        <v>696</v>
      </c>
      <c r="B93" s="783">
        <f>B54+B67+B71+B77+B87+B91+B46+B41+B30+B22</f>
        <v>50</v>
      </c>
      <c r="C93" s="783">
        <f t="shared" ref="C93:W93" si="16">C54+C67+C71+C77+C87+C91+C46+C41+C30+C22</f>
        <v>150</v>
      </c>
      <c r="D93" s="783">
        <f t="shared" si="16"/>
        <v>1</v>
      </c>
      <c r="E93" s="783">
        <f t="shared" si="16"/>
        <v>0</v>
      </c>
      <c r="F93" s="783">
        <f t="shared" si="16"/>
        <v>44</v>
      </c>
      <c r="G93" s="783">
        <f t="shared" si="16"/>
        <v>0</v>
      </c>
      <c r="H93" s="783">
        <f t="shared" si="16"/>
        <v>0</v>
      </c>
      <c r="I93" s="783">
        <f t="shared" si="16"/>
        <v>0</v>
      </c>
      <c r="J93" s="787">
        <f t="shared" si="16"/>
        <v>39</v>
      </c>
      <c r="K93" s="786">
        <f t="shared" si="16"/>
        <v>0</v>
      </c>
      <c r="L93" s="783">
        <f t="shared" si="16"/>
        <v>0</v>
      </c>
      <c r="M93" s="783">
        <f t="shared" si="16"/>
        <v>0</v>
      </c>
      <c r="N93" s="787">
        <f t="shared" si="16"/>
        <v>0</v>
      </c>
      <c r="O93" s="786">
        <f t="shared" si="16"/>
        <v>0</v>
      </c>
      <c r="P93" s="783">
        <f t="shared" si="16"/>
        <v>31</v>
      </c>
      <c r="Q93" s="783">
        <f t="shared" si="16"/>
        <v>26</v>
      </c>
      <c r="R93" s="783">
        <f t="shared" si="16"/>
        <v>0</v>
      </c>
      <c r="S93" s="784">
        <f t="shared" si="16"/>
        <v>341</v>
      </c>
      <c r="T93" s="785">
        <f t="shared" si="16"/>
        <v>110</v>
      </c>
      <c r="U93" s="784">
        <f t="shared" si="16"/>
        <v>148</v>
      </c>
      <c r="V93" s="785">
        <f t="shared" si="16"/>
        <v>8</v>
      </c>
      <c r="W93" s="783">
        <f t="shared" si="16"/>
        <v>75</v>
      </c>
      <c r="X93" s="1214" t="s">
        <v>697</v>
      </c>
    </row>
    <row r="95" spans="1:24">
      <c r="A95" s="152" t="s">
        <v>1837</v>
      </c>
    </row>
  </sheetData>
  <sheetProtection algorithmName="SHA-512" hashValue="BcT6AdCmbeu0Z+gVVm3iyzwYPsOeYEflMBl6h14TLh2VER8lqay9L6SdMjEmLbu/C6T2/aBiLMUUV24hzT/JJQ==" saltValue="5B7OIhEPSA9W+LESMBvIAA==" spinCount="100000" sheet="1" objects="1" scenarios="1"/>
  <mergeCells count="25">
    <mergeCell ref="F1:G1"/>
    <mergeCell ref="A5:I5"/>
    <mergeCell ref="A6:J6"/>
    <mergeCell ref="A3:W3"/>
    <mergeCell ref="N13:N14"/>
    <mergeCell ref="T11:W11"/>
    <mergeCell ref="O13:O14"/>
    <mergeCell ref="A11:A15"/>
    <mergeCell ref="K13:K14"/>
    <mergeCell ref="V13:W13"/>
    <mergeCell ref="T13:U13"/>
    <mergeCell ref="H13:H14"/>
    <mergeCell ref="T12:W12"/>
    <mergeCell ref="L13:L14"/>
    <mergeCell ref="M13:M14"/>
    <mergeCell ref="K12:N12"/>
    <mergeCell ref="E13:G13"/>
    <mergeCell ref="B13:D13"/>
    <mergeCell ref="I13:I14"/>
    <mergeCell ref="B11:R11"/>
    <mergeCell ref="R13:R14"/>
    <mergeCell ref="O12:R12"/>
    <mergeCell ref="P13:Q13"/>
    <mergeCell ref="J13:J14"/>
    <mergeCell ref="B12:J12"/>
  </mergeCells>
  <dataValidations count="1">
    <dataValidation type="whole" allowBlank="1" showInputMessage="1" showErrorMessage="1" errorTitle="Erreur de saisie" error="Vous devez saisir une valeur entière" sqref="B17:R21 T17:W21 B24:R29 T24:W29 B32:R40 T32:W40 B43:R45 T43:W45 B48:R53 T48:W53 B56:R66 T56:W66 B69:R70 T69:W70 B73:R76 T73:W76 B79:R86 T79:W86 B89:R90 T89:W90">
      <formula1>0</formula1>
      <formula2>999999999999</formula2>
    </dataValidation>
  </dataValidations>
  <hyperlinks>
    <hyperlink ref="F1" location="Sommaire!A1" display="Retour Sommaire"/>
  </hyperlinks>
  <printOptions horizontalCentered="1"/>
  <pageMargins left="0.59055118110236227" right="0.59055118110236227" top="0.59055118110236227" bottom="0.59055118110236227" header="0.51181102362204722" footer="0.27559055118110237"/>
  <pageSetup paperSize="9" scale="31" orientation="portrait" r:id="rId1"/>
  <headerFooter alignWithMargins="0">
    <oddFooter>&amp;LRSU 2020 - Présentation au CTP&amp;R&amp;P/&amp;N
&amp;A</oddFooter>
  </headerFooter>
  <rowBreaks count="1" manualBreakCount="1">
    <brk id="77" max="16383" man="1"/>
  </rowBreaks>
</worksheet>
</file>

<file path=xl/worksheets/sheet39.xml><?xml version="1.0" encoding="utf-8"?>
<worksheet xmlns="http://schemas.openxmlformats.org/spreadsheetml/2006/main" xmlns:r="http://schemas.openxmlformats.org/officeDocument/2006/relationships">
  <sheetPr codeName="Feuil31">
    <pageSetUpPr fitToPage="1"/>
  </sheetPr>
  <dimension ref="A1:H29"/>
  <sheetViews>
    <sheetView showGridLines="0" zoomScaleNormal="85" workbookViewId="0"/>
  </sheetViews>
  <sheetFormatPr baseColWidth="10" defaultColWidth="10.85546875" defaultRowHeight="12.75" customHeight="1"/>
  <cols>
    <col min="1" max="7" width="10.85546875" customWidth="1"/>
    <col min="8" max="8" width="15.140625" customWidth="1"/>
  </cols>
  <sheetData>
    <row r="1" spans="1:8" ht="17.100000000000001" customHeight="1">
      <c r="A1" s="1"/>
      <c r="B1" s="1"/>
      <c r="C1" s="1"/>
      <c r="D1" s="2245" t="s">
        <v>958</v>
      </c>
      <c r="E1" s="2245"/>
      <c r="F1" s="1"/>
      <c r="G1" s="1"/>
      <c r="H1" s="1"/>
    </row>
    <row r="2" spans="1:8" ht="13.5" thickBot="1"/>
    <row r="3" spans="1:8" ht="13.5" thickBot="1">
      <c r="A3" s="2386" t="s">
        <v>2503</v>
      </c>
      <c r="B3" s="2386"/>
      <c r="C3" s="2386"/>
      <c r="D3" s="2386"/>
      <c r="E3" s="2386"/>
      <c r="F3" s="2386"/>
      <c r="G3" s="2386"/>
      <c r="H3" s="2386"/>
    </row>
    <row r="6" spans="1:8" ht="12.75" customHeight="1">
      <c r="A6" s="2242" t="s">
        <v>2153</v>
      </c>
      <c r="B6" s="2242"/>
      <c r="C6" s="2242"/>
      <c r="D6" s="2242"/>
      <c r="E6" s="2242"/>
      <c r="F6" s="2242"/>
      <c r="G6" s="2242"/>
      <c r="H6" s="2242"/>
    </row>
    <row r="7" spans="1:8" ht="12.75" customHeight="1">
      <c r="A7" s="2244" t="s">
        <v>1861</v>
      </c>
      <c r="B7" s="2244"/>
      <c r="C7" s="2244"/>
      <c r="D7" s="2244"/>
      <c r="E7" s="2244"/>
      <c r="F7" s="2244"/>
      <c r="G7" s="2244"/>
      <c r="H7" s="2244"/>
    </row>
    <row r="10" spans="1:8" ht="12.75" customHeight="1">
      <c r="A10" s="2244" t="s">
        <v>959</v>
      </c>
      <c r="B10" s="2244"/>
      <c r="C10" s="2244"/>
      <c r="D10" s="2244"/>
      <c r="E10" s="2244"/>
      <c r="F10" s="2244"/>
      <c r="G10" s="2244"/>
      <c r="H10" s="2244"/>
    </row>
    <row r="12" spans="1:8" ht="12.75" customHeight="1">
      <c r="A12" s="2239" t="s">
        <v>2154</v>
      </c>
      <c r="B12" s="2239"/>
      <c r="C12" s="2239"/>
      <c r="D12" s="2239"/>
      <c r="E12" s="2239"/>
      <c r="F12" s="2239"/>
      <c r="G12" s="2239"/>
      <c r="H12" s="2239"/>
    </row>
    <row r="14" spans="1:8" ht="12.75" customHeight="1">
      <c r="A14" s="2240" t="s">
        <v>1821</v>
      </c>
      <c r="B14" s="2240"/>
      <c r="C14" s="2240"/>
      <c r="D14" s="2240"/>
      <c r="E14" s="2240"/>
      <c r="F14" s="2240"/>
      <c r="G14" s="2240"/>
      <c r="H14" s="2240"/>
    </row>
    <row r="16" spans="1:8" ht="12.75" customHeight="1">
      <c r="A16" s="2240" t="s">
        <v>2504</v>
      </c>
      <c r="B16" s="2240"/>
      <c r="C16" s="2240"/>
      <c r="D16" s="2240"/>
      <c r="E16" s="2240"/>
      <c r="F16" s="2240"/>
      <c r="G16" s="2240"/>
      <c r="H16" s="2240"/>
    </row>
    <row r="18" spans="1:8" ht="12.75" customHeight="1">
      <c r="A18" s="2240" t="s">
        <v>2601</v>
      </c>
      <c r="B18" s="2240"/>
      <c r="C18" s="2240"/>
      <c r="D18" s="2240"/>
      <c r="E18" s="2240"/>
      <c r="F18" s="2240"/>
      <c r="G18" s="2240"/>
      <c r="H18" s="2240"/>
    </row>
    <row r="21" spans="1:8" ht="12.75" customHeight="1">
      <c r="A21" s="2244" t="s">
        <v>960</v>
      </c>
      <c r="B21" s="2244"/>
      <c r="C21" s="2244"/>
      <c r="D21" s="2244"/>
      <c r="E21" s="2244"/>
      <c r="F21" s="2244"/>
      <c r="G21" s="2244"/>
      <c r="H21" s="2244"/>
    </row>
    <row r="23" spans="1:8" ht="12.75" customHeight="1">
      <c r="A23" s="2239" t="s">
        <v>884</v>
      </c>
      <c r="B23" s="2239"/>
      <c r="C23" s="2239"/>
      <c r="D23" s="2239"/>
      <c r="E23" s="2239"/>
      <c r="F23" s="2239"/>
      <c r="G23" s="2239"/>
      <c r="H23" s="2239"/>
    </row>
    <row r="24" spans="1:8" ht="12.75" customHeight="1">
      <c r="A24" s="2264" t="s">
        <v>219</v>
      </c>
      <c r="B24" s="2259"/>
      <c r="C24" s="2259"/>
      <c r="D24" s="2259"/>
      <c r="E24" s="2259"/>
      <c r="F24" s="2259"/>
      <c r="G24" s="2259"/>
      <c r="H24" s="2259"/>
    </row>
    <row r="25" spans="1:8" ht="12.75" customHeight="1">
      <c r="A25" s="2264" t="s">
        <v>220</v>
      </c>
      <c r="B25" s="2259"/>
      <c r="C25" s="2259"/>
      <c r="D25" s="2259"/>
      <c r="E25" s="2259"/>
      <c r="F25" s="2259"/>
      <c r="G25" s="2259"/>
      <c r="H25" s="2259"/>
    </row>
    <row r="27" spans="1:8" ht="12.75" customHeight="1">
      <c r="A27" s="2239" t="s">
        <v>221</v>
      </c>
      <c r="B27" s="2239"/>
      <c r="C27" s="2239"/>
      <c r="D27" s="2239"/>
      <c r="E27" s="2239"/>
      <c r="F27" s="2239"/>
      <c r="G27" s="2239"/>
      <c r="H27" s="2239"/>
    </row>
    <row r="29" spans="1:8" ht="25.5" customHeight="1">
      <c r="A29" s="2239" t="s">
        <v>222</v>
      </c>
      <c r="B29" s="2239"/>
      <c r="C29" s="2239"/>
      <c r="D29" s="2239"/>
      <c r="E29" s="2239"/>
      <c r="F29" s="2239"/>
      <c r="G29" s="2239"/>
      <c r="H29" s="2239"/>
    </row>
  </sheetData>
  <sheetProtection algorithmName="SHA-512" hashValue="wOKtP1290xwTkXcy9L/GecjYOy8mNz1XRbLwbf9MlB8G6Wgteh5mra7bmoAhipYim+vP4+UtT+nebKAExXYFXA==" saltValue="LVEt7NxvYAALok7aSI4SvA==" spinCount="100000" sheet="1" objects="1" scenarios="1"/>
  <mergeCells count="15">
    <mergeCell ref="A10:H10"/>
    <mergeCell ref="A12:H12"/>
    <mergeCell ref="D1:E1"/>
    <mergeCell ref="A3:H3"/>
    <mergeCell ref="A6:H6"/>
    <mergeCell ref="A7:H7"/>
    <mergeCell ref="A25:H25"/>
    <mergeCell ref="A27:H27"/>
    <mergeCell ref="A29:H29"/>
    <mergeCell ref="A14:H14"/>
    <mergeCell ref="A16:H16"/>
    <mergeCell ref="A18:H18"/>
    <mergeCell ref="A21:H21"/>
    <mergeCell ref="A23:H23"/>
    <mergeCell ref="A24:H24"/>
  </mergeCell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firstPageNumber="0" orientation="portrait" r:id="rId1"/>
  <headerFooter alignWithMargins="0">
    <oddFooter>&amp;LRSU 2020 - Présentation au CTP&amp;R&amp;P/&amp;N
&amp;A</oddFooter>
  </headerFooter>
</worksheet>
</file>

<file path=xl/worksheets/sheet4.xml><?xml version="1.0" encoding="utf-8"?>
<worksheet xmlns="http://schemas.openxmlformats.org/spreadsheetml/2006/main" xmlns:r="http://schemas.openxmlformats.org/officeDocument/2006/relationships">
  <sheetPr codeName="Feuil15">
    <tabColor rgb="FFC00000"/>
  </sheetPr>
  <dimension ref="A1:K761"/>
  <sheetViews>
    <sheetView workbookViewId="0"/>
  </sheetViews>
  <sheetFormatPr baseColWidth="10" defaultRowHeight="15"/>
  <cols>
    <col min="1" max="6" width="11.42578125" style="1292" collapsed="1"/>
    <col min="7" max="11" width="11.42578125" style="1292"/>
    <col min="12" max="16384" width="11.42578125" style="1292" collapsed="1"/>
  </cols>
  <sheetData>
    <row r="1" ht="45.75" customHeight="1"/>
    <row r="4" ht="18.75" customHeight="1"/>
    <row r="5" ht="14.25" customHeight="1"/>
    <row r="7" ht="25.5" customHeight="1"/>
    <row r="24" ht="29.25" customHeight="1"/>
    <row r="28" ht="14.25" customHeight="1"/>
    <row r="29" ht="23.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367" ht="15" customHeight="1"/>
    <row r="370" ht="15" customHeight="1"/>
    <row r="374" ht="15" customHeight="1"/>
    <row r="377" ht="15" customHeight="1"/>
    <row r="383" ht="15" customHeight="1"/>
    <row r="429" ht="32.25" customHeight="1"/>
    <row r="745" ht="15" customHeight="1"/>
    <row r="748" ht="15" customHeight="1"/>
    <row r="752" ht="15" customHeight="1"/>
    <row r="755" spans="1:6" ht="15" customHeight="1"/>
    <row r="758" spans="1:6" ht="15" customHeight="1">
      <c r="A758" s="2236" t="s">
        <v>2311</v>
      </c>
      <c r="B758" s="2237"/>
      <c r="C758" s="2236" t="s">
        <v>2312</v>
      </c>
      <c r="D758" s="2237"/>
      <c r="E758" s="2236" t="s">
        <v>2313</v>
      </c>
      <c r="F758" s="2237"/>
    </row>
    <row r="759" spans="1:6" ht="15" customHeight="1">
      <c r="A759" s="1295" t="s">
        <v>2314</v>
      </c>
      <c r="B759" s="1295" t="s">
        <v>2310</v>
      </c>
      <c r="C759" s="1295" t="s">
        <v>2314</v>
      </c>
      <c r="D759" s="1295" t="s">
        <v>2310</v>
      </c>
      <c r="E759" s="1295" t="s">
        <v>2314</v>
      </c>
      <c r="F759" s="1295" t="s">
        <v>2310</v>
      </c>
    </row>
    <row r="760" spans="1:6" ht="15" customHeight="1">
      <c r="A760" s="1294">
        <v>0</v>
      </c>
      <c r="B760" s="1294">
        <v>0</v>
      </c>
      <c r="C760" s="1294">
        <v>0</v>
      </c>
      <c r="D760" s="1294">
        <v>0</v>
      </c>
      <c r="E760" s="1294">
        <v>0</v>
      </c>
      <c r="F760" s="1294">
        <v>0</v>
      </c>
    </row>
    <row r="761" spans="1:6">
      <c r="A761" s="1296"/>
      <c r="B761" s="1296"/>
      <c r="C761" s="1296"/>
      <c r="D761" s="1296"/>
      <c r="E761" s="1296"/>
      <c r="F761" s="1296"/>
    </row>
  </sheetData>
  <mergeCells count="3">
    <mergeCell ref="A758:B758"/>
    <mergeCell ref="C758:D758"/>
    <mergeCell ref="E758:F758"/>
  </mergeCells>
  <pageMargins left="0.7" right="0.7" top="0.75" bottom="0.75" header="0.3" footer="0.3"/>
</worksheet>
</file>

<file path=xl/worksheets/sheet40.xml><?xml version="1.0" encoding="utf-8"?>
<worksheet xmlns="http://schemas.openxmlformats.org/spreadsheetml/2006/main" xmlns:r="http://schemas.openxmlformats.org/officeDocument/2006/relationships">
  <sheetPr codeName="Feuil32">
    <pageSetUpPr fitToPage="1"/>
  </sheetPr>
  <dimension ref="A1:G101"/>
  <sheetViews>
    <sheetView showGridLines="0" workbookViewId="0">
      <pane ySplit="20" topLeftCell="A21" activePane="bottomLeft" state="frozen"/>
      <selection activeCell="H29" sqref="H29:AB29"/>
      <selection pane="bottomLeft" activeCell="B95" sqref="B95:E95"/>
    </sheetView>
  </sheetViews>
  <sheetFormatPr baseColWidth="10" defaultColWidth="10.85546875" defaultRowHeight="12.75" customHeight="1"/>
  <cols>
    <col min="1" max="1" width="69" customWidth="1"/>
    <col min="5" max="5" width="11.140625" customWidth="1"/>
    <col min="6" max="6" width="13.42578125" customWidth="1"/>
    <col min="7" max="7" width="14.7109375" customWidth="1"/>
  </cols>
  <sheetData>
    <row r="1" spans="1:7" ht="17.100000000000001" customHeight="1">
      <c r="B1" s="2245" t="s">
        <v>958</v>
      </c>
      <c r="C1" s="2245"/>
    </row>
    <row r="2" spans="1:7" ht="13.5" thickBot="1"/>
    <row r="3" spans="1:7" ht="13.5" thickBot="1">
      <c r="A3" s="2523" t="s">
        <v>2505</v>
      </c>
      <c r="B3" s="2523"/>
      <c r="C3" s="2523"/>
      <c r="D3" s="2523"/>
      <c r="E3" s="2523"/>
      <c r="F3" s="2523"/>
    </row>
    <row r="6" spans="1:7">
      <c r="A6" s="353" t="s">
        <v>2506</v>
      </c>
      <c r="B6" s="352"/>
      <c r="C6" s="352"/>
      <c r="D6" s="352"/>
      <c r="E6" s="152"/>
      <c r="F6" s="152"/>
    </row>
    <row r="8" spans="1:7">
      <c r="A8" s="152" t="s">
        <v>175</v>
      </c>
    </row>
    <row r="9" spans="1:7" ht="43.5" customHeight="1">
      <c r="A9" s="2536"/>
      <c r="B9" s="2511" t="s">
        <v>1137</v>
      </c>
      <c r="C9" s="2511"/>
      <c r="D9" s="2511"/>
      <c r="E9" s="2511"/>
      <c r="F9" s="2511"/>
    </row>
    <row r="10" spans="1:7">
      <c r="A10" s="2537"/>
      <c r="B10" s="2524" t="s">
        <v>770</v>
      </c>
      <c r="C10" s="2525"/>
      <c r="D10" s="2526" t="s">
        <v>771</v>
      </c>
      <c r="E10" s="2527"/>
      <c r="F10" s="2531" t="s">
        <v>768</v>
      </c>
    </row>
    <row r="11" spans="1:7">
      <c r="A11" s="2538"/>
      <c r="B11" s="383" t="s">
        <v>707</v>
      </c>
      <c r="C11" s="383" t="s">
        <v>708</v>
      </c>
      <c r="D11" s="383" t="s">
        <v>707</v>
      </c>
      <c r="E11" s="383" t="s">
        <v>708</v>
      </c>
      <c r="F11" s="2532"/>
      <c r="G11" s="1215" t="s">
        <v>1410</v>
      </c>
    </row>
    <row r="12" spans="1:7">
      <c r="A12" s="223" t="s">
        <v>840</v>
      </c>
      <c r="B12" s="616">
        <v>1</v>
      </c>
      <c r="C12" s="616">
        <v>6</v>
      </c>
      <c r="D12" s="616">
        <v>0</v>
      </c>
      <c r="E12" s="616">
        <v>6</v>
      </c>
      <c r="F12" s="690">
        <f>SUM(B12:E12)</f>
        <v>13</v>
      </c>
      <c r="G12" s="1215" t="s">
        <v>1392</v>
      </c>
    </row>
    <row r="13" spans="1:7" ht="16.5" customHeight="1">
      <c r="A13" s="982" t="s">
        <v>1273</v>
      </c>
      <c r="B13" s="674"/>
      <c r="C13" s="616"/>
      <c r="D13" s="616"/>
      <c r="E13" s="616"/>
      <c r="F13" s="690">
        <f>SUM(B13:E13)</f>
        <v>0</v>
      </c>
      <c r="G13" s="1215" t="s">
        <v>1393</v>
      </c>
    </row>
    <row r="14" spans="1:7" ht="18.75" customHeight="1">
      <c r="A14" s="983" t="s">
        <v>1274</v>
      </c>
      <c r="B14" s="674"/>
      <c r="C14" s="616"/>
      <c r="D14" s="616"/>
      <c r="E14" s="616"/>
      <c r="F14" s="690">
        <f>SUM(B14:E14)</f>
        <v>0</v>
      </c>
      <c r="G14" s="1215" t="s">
        <v>1394</v>
      </c>
    </row>
    <row r="15" spans="1:7" ht="18.75" customHeight="1"/>
    <row r="16" spans="1:7" ht="18.75" customHeight="1"/>
    <row r="17" spans="1:7">
      <c r="A17" s="147" t="s">
        <v>176</v>
      </c>
    </row>
    <row r="18" spans="1:7" ht="44.25" customHeight="1">
      <c r="A18" s="2529"/>
      <c r="B18" s="2510" t="s">
        <v>501</v>
      </c>
      <c r="C18" s="2511"/>
      <c r="D18" s="2511"/>
      <c r="E18" s="2511"/>
      <c r="F18" s="2511"/>
    </row>
    <row r="19" spans="1:7" ht="32.25" customHeight="1">
      <c r="A19" s="2530"/>
      <c r="B19" s="2533" t="s">
        <v>770</v>
      </c>
      <c r="C19" s="2534"/>
      <c r="D19" s="2535" t="s">
        <v>771</v>
      </c>
      <c r="E19" s="2534"/>
      <c r="F19" s="2531" t="s">
        <v>768</v>
      </c>
    </row>
    <row r="20" spans="1:7" ht="29.25" customHeight="1">
      <c r="A20" s="984" t="s">
        <v>772</v>
      </c>
      <c r="B20" s="383" t="s">
        <v>707</v>
      </c>
      <c r="C20" s="383" t="s">
        <v>708</v>
      </c>
      <c r="D20" s="383" t="s">
        <v>707</v>
      </c>
      <c r="E20" s="383" t="s">
        <v>708</v>
      </c>
      <c r="F20" s="2532"/>
    </row>
    <row r="21" spans="1:7">
      <c r="A21" s="189" t="s">
        <v>1915</v>
      </c>
    </row>
    <row r="22" spans="1:7">
      <c r="A22" s="181" t="s">
        <v>703</v>
      </c>
      <c r="B22" s="1785">
        <v>2</v>
      </c>
      <c r="C22" s="1785">
        <v>0</v>
      </c>
      <c r="D22" s="1785">
        <v>0</v>
      </c>
      <c r="E22" s="1785">
        <v>0</v>
      </c>
      <c r="F22" s="690">
        <f t="shared" ref="F22:F27" si="0">SUM(B22:E22)</f>
        <v>2</v>
      </c>
      <c r="G22" s="1215" t="s">
        <v>1925</v>
      </c>
    </row>
    <row r="23" spans="1:7">
      <c r="A23" s="181" t="s">
        <v>704</v>
      </c>
      <c r="B23" s="1785">
        <v>2</v>
      </c>
      <c r="C23" s="1785">
        <v>3</v>
      </c>
      <c r="D23" s="1785">
        <v>0</v>
      </c>
      <c r="E23" s="1785">
        <v>0</v>
      </c>
      <c r="F23" s="690">
        <f t="shared" si="0"/>
        <v>5</v>
      </c>
      <c r="G23" s="1215" t="s">
        <v>1935</v>
      </c>
    </row>
    <row r="24" spans="1:7">
      <c r="A24" s="182" t="s">
        <v>1382</v>
      </c>
      <c r="B24" s="1785"/>
      <c r="C24" s="1785"/>
      <c r="D24" s="1785"/>
      <c r="E24" s="1785"/>
      <c r="F24" s="690">
        <f t="shared" si="0"/>
        <v>0</v>
      </c>
      <c r="G24" s="1215" t="s">
        <v>1939</v>
      </c>
    </row>
    <row r="25" spans="1:7">
      <c r="A25" s="181" t="s">
        <v>1383</v>
      </c>
      <c r="B25" s="1785">
        <v>1</v>
      </c>
      <c r="C25" s="1785">
        <v>1</v>
      </c>
      <c r="D25" s="1785">
        <v>0</v>
      </c>
      <c r="E25" s="1785">
        <v>0</v>
      </c>
      <c r="F25" s="690">
        <f t="shared" si="0"/>
        <v>2</v>
      </c>
      <c r="G25" s="1215" t="s">
        <v>1000</v>
      </c>
    </row>
    <row r="26" spans="1:7">
      <c r="A26" s="181" t="s">
        <v>1384</v>
      </c>
      <c r="B26" s="1785">
        <v>14</v>
      </c>
      <c r="C26" s="1785">
        <v>14</v>
      </c>
      <c r="D26" s="1785">
        <v>0</v>
      </c>
      <c r="E26" s="1785">
        <v>0</v>
      </c>
      <c r="F26" s="690">
        <f t="shared" si="0"/>
        <v>28</v>
      </c>
      <c r="G26" s="1215" t="s">
        <v>1851</v>
      </c>
    </row>
    <row r="27" spans="1:7">
      <c r="A27" s="491" t="s">
        <v>1915</v>
      </c>
      <c r="B27" s="690">
        <f>SUM(B22:B26)</f>
        <v>19</v>
      </c>
      <c r="C27" s="690">
        <f>SUM(C22:C26)</f>
        <v>18</v>
      </c>
      <c r="D27" s="690">
        <f>SUM(D22:D26)</f>
        <v>0</v>
      </c>
      <c r="E27" s="690">
        <f>SUM(E22:E26)</f>
        <v>0</v>
      </c>
      <c r="F27" s="690">
        <f t="shared" si="0"/>
        <v>37</v>
      </c>
      <c r="G27" s="1215" t="s">
        <v>1852</v>
      </c>
    </row>
    <row r="28" spans="1:7">
      <c r="A28" s="156" t="s">
        <v>673</v>
      </c>
    </row>
    <row r="29" spans="1:7">
      <c r="A29" s="182" t="s">
        <v>1323</v>
      </c>
      <c r="B29" s="616"/>
      <c r="C29" s="616"/>
      <c r="D29" s="616"/>
      <c r="E29" s="616"/>
      <c r="F29" s="690">
        <f t="shared" ref="F29:F34" si="1">SUM(B29:E29)</f>
        <v>0</v>
      </c>
      <c r="G29" s="1215" t="s">
        <v>1248</v>
      </c>
    </row>
    <row r="30" spans="1:7">
      <c r="A30" s="182" t="s">
        <v>705</v>
      </c>
      <c r="B30" s="1786">
        <v>1</v>
      </c>
      <c r="C30" s="1786">
        <v>1</v>
      </c>
      <c r="D30" s="1786"/>
      <c r="E30" s="1786"/>
      <c r="F30" s="690">
        <f t="shared" si="1"/>
        <v>2</v>
      </c>
      <c r="G30" s="1215" t="s">
        <v>1775</v>
      </c>
    </row>
    <row r="31" spans="1:7">
      <c r="A31" s="182" t="s">
        <v>1966</v>
      </c>
      <c r="B31" s="1786">
        <v>1</v>
      </c>
      <c r="C31" s="1786"/>
      <c r="D31" s="1786"/>
      <c r="E31" s="1786"/>
      <c r="F31" s="690">
        <f t="shared" si="1"/>
        <v>1</v>
      </c>
      <c r="G31" s="1215" t="s">
        <v>2200</v>
      </c>
    </row>
    <row r="32" spans="1:7">
      <c r="A32" s="182" t="s">
        <v>1385</v>
      </c>
      <c r="B32" s="1786"/>
      <c r="C32" s="1786"/>
      <c r="D32" s="1786"/>
      <c r="E32" s="1786"/>
      <c r="F32" s="690">
        <f t="shared" si="1"/>
        <v>0</v>
      </c>
      <c r="G32" s="1215" t="s">
        <v>2208</v>
      </c>
    </row>
    <row r="33" spans="1:7">
      <c r="A33" s="182" t="s">
        <v>1166</v>
      </c>
      <c r="B33" s="1786">
        <v>16</v>
      </c>
      <c r="C33" s="1786">
        <v>7</v>
      </c>
      <c r="D33" s="1786">
        <v>9</v>
      </c>
      <c r="E33" s="1786">
        <v>56</v>
      </c>
      <c r="F33" s="690">
        <f t="shared" si="1"/>
        <v>88</v>
      </c>
      <c r="G33" s="1215" t="s">
        <v>1242</v>
      </c>
    </row>
    <row r="34" spans="1:7">
      <c r="A34" s="182" t="s">
        <v>1310</v>
      </c>
      <c r="B34" s="616"/>
      <c r="C34" s="616"/>
      <c r="D34" s="616"/>
      <c r="E34" s="616"/>
      <c r="F34" s="690">
        <f t="shared" si="1"/>
        <v>0</v>
      </c>
      <c r="G34" s="1215" t="s">
        <v>1779</v>
      </c>
    </row>
    <row r="35" spans="1:7">
      <c r="A35" s="491" t="s">
        <v>673</v>
      </c>
      <c r="B35" s="690">
        <f>SUM(B29:B34)</f>
        <v>18</v>
      </c>
      <c r="C35" s="690">
        <f>SUM(C29:C34)</f>
        <v>8</v>
      </c>
      <c r="D35" s="690">
        <f>SUM(D29:D34)</f>
        <v>9</v>
      </c>
      <c r="E35" s="690">
        <f>SUM(E29:E34)</f>
        <v>56</v>
      </c>
      <c r="F35" s="690">
        <f>SUM(F29:F34)</f>
        <v>91</v>
      </c>
      <c r="G35" s="1215" t="s">
        <v>1249</v>
      </c>
    </row>
    <row r="36" spans="1:7">
      <c r="A36" s="183" t="s">
        <v>1250</v>
      </c>
    </row>
    <row r="37" spans="1:7">
      <c r="A37" s="181" t="s">
        <v>1311</v>
      </c>
      <c r="B37" s="616"/>
      <c r="C37" s="616"/>
      <c r="D37" s="616"/>
      <c r="E37" s="616"/>
      <c r="F37" s="690">
        <f>SUM(B37:E37)</f>
        <v>0</v>
      </c>
      <c r="G37" s="1215" t="s">
        <v>1258</v>
      </c>
    </row>
    <row r="38" spans="1:7">
      <c r="A38" s="182" t="s">
        <v>1312</v>
      </c>
      <c r="B38" s="616"/>
      <c r="C38" s="616"/>
      <c r="D38" s="616"/>
      <c r="E38" s="616"/>
      <c r="F38" s="690">
        <f t="shared" ref="F38:F76" si="2">SUM(B38:E38)</f>
        <v>0</v>
      </c>
      <c r="G38" s="1215" t="s">
        <v>1263</v>
      </c>
    </row>
    <row r="39" spans="1:7">
      <c r="A39" s="182" t="s">
        <v>1313</v>
      </c>
      <c r="B39" s="616">
        <v>0</v>
      </c>
      <c r="C39" s="616">
        <v>1</v>
      </c>
      <c r="D39" s="616">
        <v>0</v>
      </c>
      <c r="E39" s="616">
        <v>0</v>
      </c>
      <c r="F39" s="690">
        <f t="shared" si="2"/>
        <v>1</v>
      </c>
      <c r="G39" s="1215" t="s">
        <v>965</v>
      </c>
    </row>
    <row r="40" spans="1:7">
      <c r="A40" s="182" t="s">
        <v>1314</v>
      </c>
      <c r="B40" s="616"/>
      <c r="C40" s="616"/>
      <c r="D40" s="616"/>
      <c r="E40" s="616"/>
      <c r="F40" s="690">
        <f t="shared" si="2"/>
        <v>0</v>
      </c>
      <c r="G40" s="1215" t="s">
        <v>971</v>
      </c>
    </row>
    <row r="41" spans="1:7">
      <c r="A41" s="182" t="s">
        <v>751</v>
      </c>
      <c r="B41" s="616"/>
      <c r="C41" s="616"/>
      <c r="D41" s="616"/>
      <c r="E41" s="616"/>
      <c r="F41" s="690">
        <f t="shared" si="2"/>
        <v>0</v>
      </c>
      <c r="G41" s="1215" t="s">
        <v>1495</v>
      </c>
    </row>
    <row r="42" spans="1:7">
      <c r="A42" s="182" t="s">
        <v>752</v>
      </c>
      <c r="B42" s="616"/>
      <c r="C42" s="616"/>
      <c r="D42" s="616"/>
      <c r="E42" s="616"/>
      <c r="F42" s="690">
        <f t="shared" si="2"/>
        <v>0</v>
      </c>
      <c r="G42" s="1215" t="s">
        <v>425</v>
      </c>
    </row>
    <row r="43" spans="1:7">
      <c r="A43" s="182" t="s">
        <v>1025</v>
      </c>
      <c r="B43" s="616"/>
      <c r="C43" s="616"/>
      <c r="D43" s="616"/>
      <c r="E43" s="616"/>
      <c r="F43" s="690">
        <f t="shared" si="2"/>
        <v>0</v>
      </c>
      <c r="G43" s="1215" t="s">
        <v>71</v>
      </c>
    </row>
    <row r="44" spans="1:7">
      <c r="A44" s="182" t="s">
        <v>1026</v>
      </c>
      <c r="B44" s="616"/>
      <c r="C44" s="616"/>
      <c r="D44" s="616"/>
      <c r="E44" s="616"/>
      <c r="F44" s="690">
        <f t="shared" si="2"/>
        <v>0</v>
      </c>
      <c r="G44" s="1215" t="s">
        <v>366</v>
      </c>
    </row>
    <row r="45" spans="1:7">
      <c r="A45" s="182" t="s">
        <v>1027</v>
      </c>
      <c r="B45" s="616"/>
      <c r="C45" s="616"/>
      <c r="D45" s="616"/>
      <c r="E45" s="616"/>
      <c r="F45" s="690">
        <f t="shared" si="2"/>
        <v>0</v>
      </c>
      <c r="G45" s="1215" t="s">
        <v>374</v>
      </c>
    </row>
    <row r="46" spans="1:7">
      <c r="A46" s="492" t="s">
        <v>1250</v>
      </c>
      <c r="B46" s="690">
        <f>SUM(B37:B45)</f>
        <v>0</v>
      </c>
      <c r="C46" s="690">
        <f>SUM(C37:C45)</f>
        <v>1</v>
      </c>
      <c r="D46" s="690">
        <f>SUM(D37:D45)</f>
        <v>0</v>
      </c>
      <c r="E46" s="690">
        <f>SUM(E37:E45)</f>
        <v>0</v>
      </c>
      <c r="F46" s="690">
        <f t="shared" si="2"/>
        <v>1</v>
      </c>
      <c r="G46" s="1215" t="s">
        <v>375</v>
      </c>
    </row>
    <row r="47" spans="1:7">
      <c r="A47" s="183" t="s">
        <v>376</v>
      </c>
    </row>
    <row r="48" spans="1:7">
      <c r="A48" s="184" t="s">
        <v>1109</v>
      </c>
      <c r="B48" s="616"/>
      <c r="C48" s="616"/>
      <c r="D48" s="616"/>
      <c r="E48" s="616"/>
      <c r="F48" s="690">
        <f t="shared" si="2"/>
        <v>0</v>
      </c>
      <c r="G48" s="1215" t="s">
        <v>383</v>
      </c>
    </row>
    <row r="49" spans="1:7">
      <c r="A49" s="184" t="s">
        <v>1110</v>
      </c>
      <c r="B49" s="1787">
        <v>2</v>
      </c>
      <c r="C49" s="1787">
        <v>2</v>
      </c>
      <c r="D49" s="1787">
        <v>0</v>
      </c>
      <c r="E49" s="1787">
        <v>1</v>
      </c>
      <c r="F49" s="690">
        <f t="shared" si="2"/>
        <v>5</v>
      </c>
      <c r="G49" s="1215" t="s">
        <v>1185</v>
      </c>
    </row>
    <row r="50" spans="1:7">
      <c r="A50" s="184" t="s">
        <v>1111</v>
      </c>
      <c r="B50" s="616"/>
      <c r="C50" s="616"/>
      <c r="D50" s="616"/>
      <c r="E50" s="616"/>
      <c r="F50" s="690">
        <f t="shared" si="2"/>
        <v>0</v>
      </c>
      <c r="G50" s="1215" t="s">
        <v>1193</v>
      </c>
    </row>
    <row r="51" spans="1:7">
      <c r="A51" s="493" t="s">
        <v>376</v>
      </c>
      <c r="B51" s="690">
        <f>SUM(B48:B50)</f>
        <v>2</v>
      </c>
      <c r="C51" s="690">
        <f>SUM(C48:C50)</f>
        <v>2</v>
      </c>
      <c r="D51" s="690">
        <f>SUM(D48:D50)</f>
        <v>0</v>
      </c>
      <c r="E51" s="690">
        <f>SUM(E48:E50)</f>
        <v>1</v>
      </c>
      <c r="F51" s="690">
        <f t="shared" si="2"/>
        <v>5</v>
      </c>
      <c r="G51" s="1215" t="s">
        <v>1194</v>
      </c>
    </row>
    <row r="52" spans="1:7">
      <c r="A52" s="157" t="s">
        <v>1195</v>
      </c>
    </row>
    <row r="53" spans="1:7">
      <c r="A53" s="184" t="s">
        <v>1112</v>
      </c>
      <c r="B53" s="1788"/>
      <c r="C53" s="1788"/>
      <c r="D53" s="1788"/>
      <c r="E53" s="1788"/>
      <c r="F53" s="690">
        <f t="shared" si="2"/>
        <v>0</v>
      </c>
      <c r="G53" s="1215" t="s">
        <v>1203</v>
      </c>
    </row>
    <row r="54" spans="1:7">
      <c r="A54" s="184" t="s">
        <v>1113</v>
      </c>
      <c r="B54" s="1788"/>
      <c r="C54" s="1788"/>
      <c r="D54" s="1788"/>
      <c r="E54" s="1788"/>
      <c r="F54" s="690">
        <f t="shared" si="2"/>
        <v>0</v>
      </c>
      <c r="G54" s="1215" t="s">
        <v>1395</v>
      </c>
    </row>
    <row r="55" spans="1:7">
      <c r="A55" s="184" t="s">
        <v>1114</v>
      </c>
      <c r="B55" s="1788"/>
      <c r="C55" s="1788">
        <v>1</v>
      </c>
      <c r="D55" s="1788"/>
      <c r="E55" s="1788"/>
      <c r="F55" s="690">
        <f t="shared" si="2"/>
        <v>1</v>
      </c>
      <c r="G55" s="1215" t="s">
        <v>1396</v>
      </c>
    </row>
    <row r="56" spans="1:7">
      <c r="A56" s="184" t="s">
        <v>1945</v>
      </c>
      <c r="B56" s="1788"/>
      <c r="C56" s="1788"/>
      <c r="D56" s="1788"/>
      <c r="E56" s="1788"/>
      <c r="F56" s="690">
        <f t="shared" si="2"/>
        <v>0</v>
      </c>
      <c r="G56" s="1215" t="s">
        <v>1344</v>
      </c>
    </row>
    <row r="57" spans="1:7">
      <c r="A57" s="185" t="s">
        <v>1946</v>
      </c>
      <c r="B57" s="1788">
        <v>0</v>
      </c>
      <c r="C57" s="1788">
        <v>24</v>
      </c>
      <c r="D57" s="1788">
        <v>0</v>
      </c>
      <c r="E57" s="1788">
        <v>0</v>
      </c>
      <c r="F57" s="690">
        <f t="shared" si="2"/>
        <v>24</v>
      </c>
      <c r="G57" s="1215" t="s">
        <v>1350</v>
      </c>
    </row>
    <row r="58" spans="1:7">
      <c r="A58" s="184" t="s">
        <v>1947</v>
      </c>
      <c r="B58" s="1788"/>
      <c r="C58" s="1788"/>
      <c r="D58" s="1788"/>
      <c r="E58" s="1788"/>
      <c r="F58" s="690">
        <f t="shared" si="2"/>
        <v>0</v>
      </c>
      <c r="G58" s="1215" t="s">
        <v>1572</v>
      </c>
    </row>
    <row r="59" spans="1:7">
      <c r="A59" s="494" t="s">
        <v>1195</v>
      </c>
      <c r="B59" s="690">
        <f>SUM(B53:B58)</f>
        <v>0</v>
      </c>
      <c r="C59" s="690">
        <f>SUM(C53:C58)</f>
        <v>25</v>
      </c>
      <c r="D59" s="690">
        <f>SUM(D53:D58)</f>
        <v>0</v>
      </c>
      <c r="E59" s="690">
        <f>SUM(E53:E58)</f>
        <v>0</v>
      </c>
      <c r="F59" s="690">
        <f t="shared" si="2"/>
        <v>25</v>
      </c>
      <c r="G59" s="1215" t="s">
        <v>1573</v>
      </c>
    </row>
    <row r="60" spans="1:7">
      <c r="A60" s="158" t="s">
        <v>1574</v>
      </c>
    </row>
    <row r="61" spans="1:7">
      <c r="A61" s="184" t="s">
        <v>1948</v>
      </c>
      <c r="B61" s="1789"/>
      <c r="C61" s="1789"/>
      <c r="D61" s="1789"/>
      <c r="E61" s="1789"/>
      <c r="F61" s="690">
        <f t="shared" si="2"/>
        <v>0</v>
      </c>
      <c r="G61" s="1215" t="s">
        <v>1583</v>
      </c>
    </row>
    <row r="62" spans="1:7">
      <c r="A62" s="184" t="s">
        <v>1949</v>
      </c>
      <c r="B62" s="1789"/>
      <c r="C62" s="1789"/>
      <c r="D62" s="1789"/>
      <c r="E62" s="1789"/>
      <c r="F62" s="690">
        <f t="shared" si="2"/>
        <v>0</v>
      </c>
      <c r="G62" s="1215" t="s">
        <v>1589</v>
      </c>
    </row>
    <row r="63" spans="1:7">
      <c r="A63" s="184" t="s">
        <v>1950</v>
      </c>
      <c r="B63" s="1789"/>
      <c r="C63" s="1789"/>
      <c r="D63" s="1789"/>
      <c r="E63" s="1789"/>
      <c r="F63" s="690">
        <f t="shared" si="2"/>
        <v>0</v>
      </c>
      <c r="G63" s="1215" t="s">
        <v>1594</v>
      </c>
    </row>
    <row r="64" spans="1:7">
      <c r="A64" s="184" t="s">
        <v>2232</v>
      </c>
      <c r="B64" s="1789"/>
      <c r="C64" s="1789"/>
      <c r="D64" s="1789"/>
      <c r="E64" s="1789"/>
      <c r="F64" s="690">
        <f t="shared" si="2"/>
        <v>0</v>
      </c>
      <c r="G64" s="1215" t="s">
        <v>1791</v>
      </c>
    </row>
    <row r="65" spans="1:7">
      <c r="A65" s="184" t="s">
        <v>141</v>
      </c>
      <c r="B65" s="1789"/>
      <c r="C65" s="1789"/>
      <c r="D65" s="1789"/>
      <c r="E65" s="1789"/>
      <c r="F65" s="690">
        <f t="shared" si="2"/>
        <v>0</v>
      </c>
      <c r="G65" s="1215" t="s">
        <v>1600</v>
      </c>
    </row>
    <row r="66" spans="1:7">
      <c r="A66" s="184" t="s">
        <v>1433</v>
      </c>
      <c r="B66" s="1789">
        <v>1</v>
      </c>
      <c r="C66" s="1789">
        <v>2</v>
      </c>
      <c r="D66" s="1789">
        <v>0</v>
      </c>
      <c r="E66" s="1789">
        <v>0</v>
      </c>
      <c r="F66" s="690">
        <f t="shared" si="2"/>
        <v>3</v>
      </c>
      <c r="G66" s="1215" t="s">
        <v>723</v>
      </c>
    </row>
    <row r="67" spans="1:7">
      <c r="A67" s="184" t="s">
        <v>1895</v>
      </c>
      <c r="B67" s="1789"/>
      <c r="C67" s="1789"/>
      <c r="D67" s="1789"/>
      <c r="E67" s="1789"/>
      <c r="F67" s="690">
        <f t="shared" si="2"/>
        <v>0</v>
      </c>
      <c r="G67" s="1215" t="s">
        <v>419</v>
      </c>
    </row>
    <row r="68" spans="1:7">
      <c r="A68" s="184" t="s">
        <v>1053</v>
      </c>
      <c r="B68" s="1789"/>
      <c r="C68" s="1789"/>
      <c r="D68" s="1789"/>
      <c r="E68" s="1789"/>
      <c r="F68" s="690">
        <f t="shared" si="2"/>
        <v>0</v>
      </c>
      <c r="G68" s="1215" t="s">
        <v>867</v>
      </c>
    </row>
    <row r="69" spans="1:7">
      <c r="A69" s="186" t="s">
        <v>1896</v>
      </c>
      <c r="B69" s="1789"/>
      <c r="C69" s="1789"/>
      <c r="D69" s="1789"/>
      <c r="E69" s="1789"/>
      <c r="F69" s="690">
        <f t="shared" si="2"/>
        <v>0</v>
      </c>
      <c r="G69" s="1215" t="s">
        <v>2113</v>
      </c>
    </row>
    <row r="70" spans="1:7">
      <c r="A70" s="184" t="s">
        <v>1897</v>
      </c>
      <c r="B70" s="1789">
        <v>0</v>
      </c>
      <c r="C70" s="1789">
        <v>15</v>
      </c>
      <c r="D70" s="1789">
        <v>0</v>
      </c>
      <c r="E70" s="1789">
        <v>0</v>
      </c>
      <c r="F70" s="690">
        <f t="shared" si="2"/>
        <v>15</v>
      </c>
      <c r="G70" s="1215" t="s">
        <v>2119</v>
      </c>
    </row>
    <row r="71" spans="1:7">
      <c r="A71" s="184" t="s">
        <v>1898</v>
      </c>
      <c r="B71" s="1789"/>
      <c r="C71" s="1789"/>
      <c r="D71" s="1789"/>
      <c r="E71" s="1789"/>
      <c r="F71" s="690">
        <f t="shared" si="2"/>
        <v>0</v>
      </c>
      <c r="G71" s="1215" t="s">
        <v>2125</v>
      </c>
    </row>
    <row r="72" spans="1:7">
      <c r="A72" s="494" t="s">
        <v>1574</v>
      </c>
      <c r="B72" s="690">
        <f>SUM(B61:B71)</f>
        <v>1</v>
      </c>
      <c r="C72" s="690">
        <f>SUM(C61:C71)</f>
        <v>17</v>
      </c>
      <c r="D72" s="690">
        <f>SUM(D61:D71)</f>
        <v>0</v>
      </c>
      <c r="E72" s="690">
        <f>SUM(E61:E71)</f>
        <v>0</v>
      </c>
      <c r="F72" s="690">
        <f t="shared" si="2"/>
        <v>18</v>
      </c>
      <c r="G72" s="1215" t="s">
        <v>2126</v>
      </c>
    </row>
    <row r="73" spans="1:7">
      <c r="A73" s="159" t="s">
        <v>2127</v>
      </c>
    </row>
    <row r="74" spans="1:7">
      <c r="A74" s="160" t="s">
        <v>1899</v>
      </c>
      <c r="B74" s="616"/>
      <c r="C74" s="616"/>
      <c r="D74" s="616"/>
      <c r="E74" s="616"/>
      <c r="F74" s="690">
        <f t="shared" si="2"/>
        <v>0</v>
      </c>
      <c r="G74" s="1215" t="s">
        <v>1640</v>
      </c>
    </row>
    <row r="75" spans="1:7">
      <c r="A75" s="184" t="s">
        <v>1900</v>
      </c>
      <c r="B75" s="616"/>
      <c r="C75" s="616"/>
      <c r="D75" s="616"/>
      <c r="E75" s="616"/>
      <c r="F75" s="690">
        <f t="shared" si="2"/>
        <v>0</v>
      </c>
      <c r="G75" s="1215" t="s">
        <v>1648</v>
      </c>
    </row>
    <row r="76" spans="1:7">
      <c r="A76" s="494" t="s">
        <v>2127</v>
      </c>
      <c r="B76" s="690">
        <f>SUM(B74:B75)</f>
        <v>0</v>
      </c>
      <c r="C76" s="690">
        <f>SUM(C74:C75)</f>
        <v>0</v>
      </c>
      <c r="D76" s="690">
        <f>SUM(D74:D75)</f>
        <v>0</v>
      </c>
      <c r="E76" s="690">
        <f>SUM(E74:E75)</f>
        <v>0</v>
      </c>
      <c r="F76" s="690">
        <f t="shared" si="2"/>
        <v>0</v>
      </c>
      <c r="G76" s="1215" t="s">
        <v>1649</v>
      </c>
    </row>
    <row r="77" spans="1:7">
      <c r="A77" s="183" t="s">
        <v>1650</v>
      </c>
    </row>
    <row r="78" spans="1:7">
      <c r="A78" s="187" t="s">
        <v>1653</v>
      </c>
      <c r="B78" s="616"/>
      <c r="C78" s="616"/>
      <c r="D78" s="616"/>
      <c r="E78" s="616"/>
      <c r="F78" s="690">
        <f>SUM(B78:E78)</f>
        <v>0</v>
      </c>
      <c r="G78" s="1215" t="s">
        <v>1658</v>
      </c>
    </row>
    <row r="79" spans="1:7">
      <c r="A79" s="187" t="s">
        <v>2189</v>
      </c>
      <c r="B79" s="616"/>
      <c r="C79" s="616"/>
      <c r="D79" s="616"/>
      <c r="E79" s="616"/>
      <c r="F79" s="690">
        <f>SUM(B79:E79)</f>
        <v>0</v>
      </c>
      <c r="G79" s="1215" t="s">
        <v>302</v>
      </c>
    </row>
    <row r="80" spans="1:7">
      <c r="A80" s="184" t="s">
        <v>2190</v>
      </c>
      <c r="B80" s="616"/>
      <c r="C80" s="616"/>
      <c r="D80" s="616"/>
      <c r="E80" s="616"/>
      <c r="F80" s="690">
        <f>SUM(B80:E80)</f>
        <v>0</v>
      </c>
      <c r="G80" s="1215" t="s">
        <v>309</v>
      </c>
    </row>
    <row r="81" spans="1:7">
      <c r="A81" s="184" t="s">
        <v>2191</v>
      </c>
      <c r="B81" s="616"/>
      <c r="C81" s="616"/>
      <c r="D81" s="616"/>
      <c r="E81" s="616"/>
      <c r="F81" s="690">
        <f>SUM(B81:E81)</f>
        <v>0</v>
      </c>
      <c r="G81" s="1215" t="s">
        <v>315</v>
      </c>
    </row>
    <row r="82" spans="1:7">
      <c r="A82" s="495" t="s">
        <v>1650</v>
      </c>
      <c r="B82" s="690">
        <f>SUM(B78:B81)</f>
        <v>0</v>
      </c>
      <c r="C82" s="690">
        <f>SUM(C78:C81)</f>
        <v>0</v>
      </c>
      <c r="D82" s="690">
        <f>SUM(D78:D81)</f>
        <v>0</v>
      </c>
      <c r="E82" s="690">
        <f>SUM(E78:E81)</f>
        <v>0</v>
      </c>
      <c r="F82" s="690">
        <f>SUM(B82:E82)</f>
        <v>0</v>
      </c>
      <c r="G82" s="1215" t="s">
        <v>316</v>
      </c>
    </row>
    <row r="83" spans="1:7">
      <c r="A83" s="158" t="s">
        <v>2192</v>
      </c>
    </row>
    <row r="84" spans="1:7">
      <c r="A84" s="185" t="s">
        <v>1430</v>
      </c>
      <c r="B84" s="618"/>
      <c r="C84" s="618"/>
      <c r="D84" s="618"/>
      <c r="E84" s="618"/>
      <c r="F84" s="690">
        <f t="shared" ref="F84:F96" si="3">SUM(B84:E84)</f>
        <v>0</v>
      </c>
      <c r="G84" s="1215" t="s">
        <v>1800</v>
      </c>
    </row>
    <row r="85" spans="1:7">
      <c r="A85" s="184" t="s">
        <v>1431</v>
      </c>
      <c r="B85" s="614"/>
      <c r="C85" s="614"/>
      <c r="D85" s="614"/>
      <c r="E85" s="614"/>
      <c r="F85" s="690">
        <f t="shared" si="3"/>
        <v>0</v>
      </c>
      <c r="G85" s="1215" t="s">
        <v>2220</v>
      </c>
    </row>
    <row r="86" spans="1:7">
      <c r="A86" s="211" t="s">
        <v>233</v>
      </c>
      <c r="B86" s="616"/>
      <c r="C86" s="616"/>
      <c r="D86" s="616"/>
      <c r="E86" s="616"/>
      <c r="F86" s="690">
        <f t="shared" si="3"/>
        <v>0</v>
      </c>
      <c r="G86" s="1215" t="s">
        <v>2227</v>
      </c>
    </row>
    <row r="87" spans="1:7">
      <c r="A87" s="212" t="s">
        <v>234</v>
      </c>
      <c r="B87" s="616"/>
      <c r="C87" s="616"/>
      <c r="D87" s="616"/>
      <c r="E87" s="616"/>
      <c r="F87" s="690">
        <f t="shared" si="3"/>
        <v>0</v>
      </c>
      <c r="G87" s="1215" t="s">
        <v>1065</v>
      </c>
    </row>
    <row r="88" spans="1:7">
      <c r="A88" s="187" t="s">
        <v>2233</v>
      </c>
      <c r="B88" s="616"/>
      <c r="C88" s="616"/>
      <c r="D88" s="616"/>
      <c r="E88" s="616"/>
      <c r="F88" s="690">
        <f t="shared" si="3"/>
        <v>0</v>
      </c>
      <c r="G88" s="1215" t="s">
        <v>1807</v>
      </c>
    </row>
    <row r="89" spans="1:7">
      <c r="A89" s="187" t="s">
        <v>1896</v>
      </c>
      <c r="B89" s="616"/>
      <c r="C89" s="616"/>
      <c r="D89" s="616"/>
      <c r="E89" s="616"/>
      <c r="F89" s="690">
        <f t="shared" si="3"/>
        <v>0</v>
      </c>
      <c r="G89" s="1215" t="s">
        <v>1812</v>
      </c>
    </row>
    <row r="90" spans="1:7">
      <c r="A90" s="187" t="s">
        <v>236</v>
      </c>
      <c r="B90" s="616"/>
      <c r="C90" s="616"/>
      <c r="D90" s="616"/>
      <c r="E90" s="616"/>
      <c r="F90" s="690">
        <f t="shared" si="3"/>
        <v>0</v>
      </c>
      <c r="G90" s="1215" t="s">
        <v>1073</v>
      </c>
    </row>
    <row r="91" spans="1:7">
      <c r="A91" s="184" t="s">
        <v>237</v>
      </c>
      <c r="B91" s="616"/>
      <c r="C91" s="616"/>
      <c r="D91" s="616"/>
      <c r="E91" s="616"/>
      <c r="F91" s="690">
        <f t="shared" si="3"/>
        <v>0</v>
      </c>
      <c r="G91" s="1215" t="s">
        <v>1079</v>
      </c>
    </row>
    <row r="92" spans="1:7">
      <c r="A92" s="494" t="s">
        <v>1080</v>
      </c>
      <c r="B92" s="690">
        <f>SUM(B84:B91)</f>
        <v>0</v>
      </c>
      <c r="C92" s="690">
        <f>SUM(C84:C91)</f>
        <v>0</v>
      </c>
      <c r="D92" s="690">
        <f>SUM(D84:D91)</f>
        <v>0</v>
      </c>
      <c r="E92" s="690">
        <f>SUM(E84:E91)</f>
        <v>0</v>
      </c>
      <c r="F92" s="690">
        <f t="shared" si="3"/>
        <v>0</v>
      </c>
      <c r="G92" s="1215" t="s">
        <v>1081</v>
      </c>
    </row>
    <row r="93" spans="1:7">
      <c r="A93" s="157" t="s">
        <v>1082</v>
      </c>
    </row>
    <row r="94" spans="1:7">
      <c r="A94" s="184" t="s">
        <v>238</v>
      </c>
      <c r="B94" s="616"/>
      <c r="C94" s="616"/>
      <c r="D94" s="616"/>
      <c r="E94" s="616"/>
      <c r="F94" s="690">
        <f t="shared" si="3"/>
        <v>0</v>
      </c>
      <c r="G94" s="1215" t="s">
        <v>685</v>
      </c>
    </row>
    <row r="95" spans="1:7">
      <c r="A95" s="184" t="s">
        <v>239</v>
      </c>
      <c r="B95" s="1790">
        <v>4</v>
      </c>
      <c r="C95" s="1790">
        <v>6</v>
      </c>
      <c r="D95" s="1790"/>
      <c r="E95" s="1790"/>
      <c r="F95" s="690">
        <f t="shared" si="3"/>
        <v>10</v>
      </c>
      <c r="G95" s="1215" t="s">
        <v>693</v>
      </c>
    </row>
    <row r="96" spans="1:7">
      <c r="A96" s="494" t="s">
        <v>1082</v>
      </c>
      <c r="B96" s="690">
        <f>SUM(B94:B95)</f>
        <v>4</v>
      </c>
      <c r="C96" s="690">
        <f>SUM(C94:C95)</f>
        <v>6</v>
      </c>
      <c r="D96" s="690">
        <f>SUM(D94:D95)</f>
        <v>0</v>
      </c>
      <c r="E96" s="690">
        <f>SUM(E94:E95)</f>
        <v>0</v>
      </c>
      <c r="F96" s="690">
        <f t="shared" si="3"/>
        <v>10</v>
      </c>
      <c r="G96" s="1215" t="s">
        <v>694</v>
      </c>
    </row>
    <row r="98" spans="1:7">
      <c r="A98" s="494" t="s">
        <v>696</v>
      </c>
      <c r="B98" s="690">
        <f>B96+B92+B82+B76+B72+B59+B51+B46+B35+B27</f>
        <v>44</v>
      </c>
      <c r="C98" s="690">
        <f>C96+C92+C82+C76+C72+C59+C51+C46+C35+C27</f>
        <v>77</v>
      </c>
      <c r="D98" s="690">
        <f>D96+D92+D82+D76+D72+D59+D51+D46+D35+D27</f>
        <v>9</v>
      </c>
      <c r="E98" s="690">
        <f>E96+E92+E82+E76+E72+E59+E51+E46+E35+E27</f>
        <v>57</v>
      </c>
      <c r="F98" s="690">
        <f>SUM(B98:E98)</f>
        <v>187</v>
      </c>
      <c r="G98" s="1216" t="s">
        <v>697</v>
      </c>
    </row>
    <row r="99" spans="1:7">
      <c r="B99" s="1217">
        <v>10</v>
      </c>
      <c r="C99" s="1217">
        <v>10</v>
      </c>
      <c r="D99" s="1217">
        <v>20</v>
      </c>
      <c r="E99" s="1217">
        <v>20</v>
      </c>
      <c r="F99" s="1218" t="s">
        <v>697</v>
      </c>
      <c r="G99" s="1219" t="s">
        <v>1951</v>
      </c>
    </row>
    <row r="100" spans="1:7">
      <c r="B100" s="1220">
        <v>1</v>
      </c>
      <c r="C100" s="1220">
        <v>2</v>
      </c>
      <c r="D100" s="1220">
        <v>1</v>
      </c>
      <c r="E100" s="1220">
        <v>2</v>
      </c>
      <c r="F100" s="1221">
        <v>0</v>
      </c>
      <c r="G100" s="1219" t="s">
        <v>1307</v>
      </c>
    </row>
    <row r="101" spans="1:7">
      <c r="A101" s="2528" t="s">
        <v>1837</v>
      </c>
      <c r="B101" s="2447"/>
      <c r="C101" s="2447"/>
      <c r="D101" s="2447"/>
      <c r="E101" s="2447"/>
      <c r="F101" s="2447"/>
      <c r="G101" s="1026"/>
    </row>
  </sheetData>
  <sheetProtection algorithmName="SHA-512" hashValue="Etyim7gy3Llk9w6Rign4/oEa3snGS+M4JIGHVbquvx2mUrQNs9Zw8yOAaXVnnoqT1NTSX4Dy0KVq2gULjzAc5w==" saltValue="Rk+wRwxhGko879esRG20yA==" spinCount="100000" sheet="1" objects="1" scenarios="1"/>
  <mergeCells count="13">
    <mergeCell ref="A3:F3"/>
    <mergeCell ref="B1:C1"/>
    <mergeCell ref="B10:C10"/>
    <mergeCell ref="D10:E10"/>
    <mergeCell ref="A101:F101"/>
    <mergeCell ref="A18:A19"/>
    <mergeCell ref="B18:F18"/>
    <mergeCell ref="B9:F9"/>
    <mergeCell ref="F10:F11"/>
    <mergeCell ref="B19:C19"/>
    <mergeCell ref="D19:E19"/>
    <mergeCell ref="F19:F20"/>
    <mergeCell ref="A9:A11"/>
  </mergeCells>
  <dataValidations count="1">
    <dataValidation type="whole" allowBlank="1" showInputMessage="1" showErrorMessage="1" errorTitle="Erreur de saisie" error="Vous devez saisir une valeur entière" sqref="B94:E95 B84:E91 B78:E81 B74:E75 B61:E71 B53:E58 B48:E50 B37:E45 B29:E34 B22:E26 B12:E14">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55" orientation="portrait" r:id="rId1"/>
  <headerFooter alignWithMargins="0">
    <oddFooter>&amp;LRSU 2020 - Présentation au CTP&amp;R&amp;P/&amp;N
&amp;A</oddFooter>
  </headerFooter>
  <rowBreaks count="1" manualBreakCount="1">
    <brk id="82" max="16383" man="1"/>
  </rowBreaks>
</worksheet>
</file>

<file path=xl/worksheets/sheet41.xml><?xml version="1.0" encoding="utf-8"?>
<worksheet xmlns="http://schemas.openxmlformats.org/spreadsheetml/2006/main" xmlns:r="http://schemas.openxmlformats.org/officeDocument/2006/relationships">
  <sheetPr codeName="Feuil86">
    <pageSetUpPr fitToPage="1"/>
  </sheetPr>
  <dimension ref="A1:IV79"/>
  <sheetViews>
    <sheetView showGridLines="0" topLeftCell="A20" zoomScaleNormal="85" workbookViewId="0"/>
  </sheetViews>
  <sheetFormatPr baseColWidth="10" defaultColWidth="10.85546875" defaultRowHeight="12.75"/>
  <cols>
    <col min="1" max="16384" width="10.85546875" style="1093"/>
  </cols>
  <sheetData>
    <row r="1" spans="1:12" customFormat="1" ht="17.100000000000001" customHeight="1">
      <c r="A1" s="1"/>
      <c r="B1" s="1"/>
      <c r="C1" s="1"/>
      <c r="D1" s="1"/>
      <c r="E1" s="2245" t="s">
        <v>958</v>
      </c>
      <c r="F1" s="2245"/>
      <c r="G1" s="1"/>
      <c r="H1" s="1"/>
    </row>
    <row r="2" spans="1:12" customFormat="1" ht="13.5" thickBot="1"/>
    <row r="3" spans="1:12" s="1161" customFormat="1" ht="25.5" customHeight="1" thickBot="1">
      <c r="A3" s="2273" t="s">
        <v>2507</v>
      </c>
      <c r="B3" s="2273"/>
      <c r="C3" s="2273"/>
      <c r="D3" s="2273"/>
      <c r="E3" s="2273"/>
      <c r="F3" s="2273"/>
      <c r="G3" s="2273"/>
      <c r="H3" s="2273"/>
    </row>
    <row r="4" spans="1:12" customFormat="1"/>
    <row r="5" spans="1:12" customFormat="1"/>
    <row r="6" spans="1:12" s="1095" customFormat="1" ht="25.5" customHeight="1">
      <c r="A6" s="2242" t="s">
        <v>89</v>
      </c>
      <c r="B6" s="2242"/>
      <c r="C6" s="2242"/>
      <c r="D6" s="2242"/>
      <c r="E6" s="2242"/>
      <c r="F6" s="2242"/>
      <c r="G6" s="2242"/>
      <c r="H6" s="2242"/>
      <c r="I6" s="1096"/>
      <c r="J6" s="1096"/>
      <c r="K6" s="1096"/>
      <c r="L6" s="1096"/>
    </row>
    <row r="7" spans="1:12" s="1172" customFormat="1" ht="25.5" customHeight="1">
      <c r="A7" s="2244" t="s">
        <v>1861</v>
      </c>
      <c r="B7" s="2244"/>
      <c r="C7" s="2244"/>
      <c r="D7" s="2244"/>
      <c r="E7" s="2244"/>
      <c r="F7" s="2244"/>
      <c r="G7" s="2244"/>
      <c r="H7" s="2244"/>
    </row>
    <row r="8" spans="1:12" customFormat="1" ht="12.75" customHeight="1"/>
    <row r="9" spans="1:12" customFormat="1" ht="12.75" customHeight="1"/>
    <row r="10" spans="1:12" s="1095" customFormat="1" ht="12.75" customHeight="1">
      <c r="A10" s="2244" t="s">
        <v>90</v>
      </c>
      <c r="B10" s="2244"/>
      <c r="C10" s="2244"/>
      <c r="D10" s="2244"/>
      <c r="E10" s="2244"/>
      <c r="F10" s="2244"/>
      <c r="G10" s="2244"/>
      <c r="H10" s="2244"/>
      <c r="I10" s="1096"/>
      <c r="J10" s="1096"/>
      <c r="K10" s="1096"/>
      <c r="L10" s="1096"/>
    </row>
    <row r="11" spans="1:12" customFormat="1"/>
    <row r="12" spans="1:12" s="1095" customFormat="1" ht="12.75" customHeight="1">
      <c r="A12" s="2539" t="s">
        <v>2508</v>
      </c>
      <c r="B12" s="2539"/>
      <c r="C12" s="2539"/>
      <c r="D12" s="2539"/>
      <c r="E12" s="2539"/>
      <c r="F12" s="2539"/>
      <c r="G12" s="2539"/>
      <c r="H12" s="2539"/>
      <c r="I12" s="1096"/>
      <c r="J12" s="1096"/>
      <c r="K12" s="1096"/>
      <c r="L12" s="1096"/>
    </row>
    <row r="13" spans="1:12" s="1095" customFormat="1" ht="12.75" customHeight="1">
      <c r="A13" s="2264" t="s">
        <v>91</v>
      </c>
      <c r="B13" s="2259"/>
      <c r="C13" s="2259"/>
      <c r="D13" s="2259"/>
      <c r="E13" s="2259"/>
      <c r="F13" s="2259"/>
      <c r="G13" s="2259"/>
      <c r="H13" s="2259"/>
      <c r="I13" s="1096"/>
      <c r="J13" s="1096"/>
      <c r="K13" s="1096"/>
      <c r="L13" s="1096"/>
    </row>
    <row r="14" spans="1:12" s="1095" customFormat="1" ht="12.75" customHeight="1">
      <c r="A14" s="2264" t="s">
        <v>92</v>
      </c>
      <c r="B14" s="2259"/>
      <c r="C14" s="2259"/>
      <c r="D14" s="2259"/>
      <c r="E14" s="2259"/>
      <c r="F14" s="2259"/>
      <c r="G14" s="2259"/>
      <c r="H14" s="2259"/>
      <c r="I14" s="1096"/>
      <c r="J14" s="1096"/>
      <c r="K14" s="1096"/>
      <c r="L14" s="1096"/>
    </row>
    <row r="15" spans="1:12" s="1095" customFormat="1" ht="12.75" customHeight="1">
      <c r="A15" s="2264" t="s">
        <v>93</v>
      </c>
      <c r="B15" s="2259"/>
      <c r="C15" s="2259"/>
      <c r="D15" s="2259"/>
      <c r="E15" s="2259"/>
      <c r="F15" s="2259"/>
      <c r="G15" s="2259"/>
      <c r="H15" s="2259"/>
      <c r="I15" s="1096"/>
      <c r="J15" s="1096"/>
      <c r="K15" s="1096"/>
      <c r="L15" s="1096"/>
    </row>
    <row r="16" spans="1:12" customFormat="1"/>
    <row r="17" spans="1:12" s="1095" customFormat="1" ht="25.5" customHeight="1">
      <c r="A17" s="2239" t="s">
        <v>2509</v>
      </c>
      <c r="B17" s="2239"/>
      <c r="C17" s="2239"/>
      <c r="D17" s="2239"/>
      <c r="E17" s="2239"/>
      <c r="F17" s="2239"/>
      <c r="G17" s="2239"/>
      <c r="H17" s="2239"/>
      <c r="I17" s="1171"/>
      <c r="J17" s="1096"/>
      <c r="K17" s="1096"/>
      <c r="L17" s="1096"/>
    </row>
    <row r="18" spans="1:12" s="1096" customFormat="1" ht="25.5" customHeight="1">
      <c r="A18" s="2264" t="s">
        <v>94</v>
      </c>
      <c r="B18" s="2259"/>
      <c r="C18" s="2259"/>
      <c r="D18" s="2259"/>
      <c r="E18" s="2259"/>
      <c r="F18" s="2259"/>
      <c r="G18" s="2259"/>
      <c r="H18" s="2259"/>
    </row>
    <row r="19" spans="1:12" s="1096" customFormat="1" ht="12.75" customHeight="1">
      <c r="A19" s="2264" t="s">
        <v>95</v>
      </c>
      <c r="B19" s="2259"/>
      <c r="C19" s="2259"/>
      <c r="D19" s="2259"/>
      <c r="E19" s="2259"/>
      <c r="F19" s="2259"/>
      <c r="G19" s="2259"/>
      <c r="H19" s="2259"/>
    </row>
    <row r="20" spans="1:12" customFormat="1" ht="12.75" customHeight="1"/>
    <row r="21" spans="1:12" s="1172" customFormat="1" ht="12.75" customHeight="1">
      <c r="A21" s="2239" t="s">
        <v>2510</v>
      </c>
      <c r="B21" s="2239"/>
      <c r="C21" s="2239"/>
      <c r="D21" s="2239"/>
      <c r="E21" s="2239"/>
      <c r="F21" s="2239"/>
      <c r="G21" s="2239"/>
      <c r="H21" s="2239"/>
      <c r="I21" s="1171"/>
    </row>
    <row r="22" spans="1:12" customFormat="1" ht="12.75" customHeight="1"/>
    <row r="23" spans="1:12" customFormat="1" ht="12.75" customHeight="1"/>
    <row r="24" spans="1:12" s="1172" customFormat="1" ht="12.75" customHeight="1">
      <c r="A24" s="2244" t="s">
        <v>960</v>
      </c>
      <c r="B24" s="2244"/>
      <c r="C24" s="2244"/>
      <c r="D24" s="2244"/>
      <c r="E24" s="2244"/>
      <c r="F24" s="2244"/>
      <c r="G24" s="2244"/>
      <c r="H24" s="2244"/>
    </row>
    <row r="25" spans="1:12" customFormat="1" ht="12.75" customHeight="1"/>
    <row r="26" spans="1:12" s="1096" customFormat="1" ht="12.75" customHeight="1">
      <c r="A26" s="2239" t="s">
        <v>96</v>
      </c>
      <c r="B26" s="2239"/>
      <c r="C26" s="2239"/>
      <c r="D26" s="2239"/>
      <c r="E26" s="2239"/>
      <c r="F26" s="2239"/>
      <c r="G26" s="2239"/>
      <c r="H26" s="2239"/>
    </row>
    <row r="27" spans="1:12" customFormat="1" ht="12.75" customHeight="1"/>
    <row r="28" spans="1:12" s="1096" customFormat="1" ht="12.75" customHeight="1">
      <c r="A28" s="2239" t="s">
        <v>97</v>
      </c>
      <c r="B28" s="2239"/>
      <c r="C28" s="2239"/>
      <c r="D28" s="2239"/>
      <c r="E28" s="2239"/>
      <c r="F28" s="2239"/>
      <c r="G28" s="2239"/>
      <c r="H28" s="2239"/>
    </row>
    <row r="29" spans="1:12" customFormat="1" ht="12.75" customHeight="1"/>
    <row r="30" spans="1:12" customFormat="1" ht="12.75" customHeight="1"/>
    <row r="31" spans="1:12" s="1095" customFormat="1" ht="12.75" customHeight="1">
      <c r="A31" s="2244" t="s">
        <v>98</v>
      </c>
      <c r="B31" s="2244"/>
      <c r="C31" s="2244"/>
      <c r="D31" s="2244"/>
      <c r="E31" s="2244"/>
      <c r="F31" s="2244"/>
      <c r="G31" s="2244"/>
      <c r="H31" s="2244"/>
      <c r="I31" s="1096"/>
      <c r="J31" s="1096"/>
      <c r="K31" s="1096"/>
      <c r="L31" s="1096"/>
    </row>
    <row r="32" spans="1:12" customFormat="1"/>
    <row r="33" spans="1:256" s="1095" customFormat="1" ht="12.75" customHeight="1">
      <c r="A33" s="2239" t="s">
        <v>2511</v>
      </c>
      <c r="B33" s="2239"/>
      <c r="C33" s="2239"/>
      <c r="D33" s="2239"/>
      <c r="E33" s="2239"/>
      <c r="F33" s="2239"/>
      <c r="G33" s="2239"/>
      <c r="H33" s="2239"/>
      <c r="I33" s="1096"/>
      <c r="J33" s="1096"/>
      <c r="K33" s="1096"/>
      <c r="L33" s="1096"/>
    </row>
    <row r="34" spans="1:256" s="1095" customFormat="1" ht="12.75" customHeight="1">
      <c r="A34" s="2258" t="s">
        <v>99</v>
      </c>
      <c r="B34" s="2259"/>
      <c r="C34" s="2259"/>
      <c r="D34" s="2259"/>
      <c r="E34" s="2259"/>
      <c r="F34" s="2259"/>
      <c r="G34" s="2259"/>
      <c r="H34" s="2259"/>
      <c r="I34" s="1096"/>
      <c r="J34" s="1096"/>
      <c r="K34" s="1096"/>
      <c r="L34" s="1096"/>
    </row>
    <row r="35" spans="1:256" s="1095" customFormat="1" ht="12.75" customHeight="1">
      <c r="A35" s="2258" t="s">
        <v>100</v>
      </c>
      <c r="B35" s="2259"/>
      <c r="C35" s="2259"/>
      <c r="D35" s="2259"/>
      <c r="E35" s="2259"/>
      <c r="F35" s="2259"/>
      <c r="G35" s="2259"/>
      <c r="H35" s="2259"/>
      <c r="I35" s="1096"/>
      <c r="J35" s="1096"/>
      <c r="K35" s="1096"/>
      <c r="L35" s="1096"/>
    </row>
    <row r="36" spans="1:256" customFormat="1" ht="12.75" customHeight="1"/>
    <row r="37" spans="1:256" customFormat="1"/>
    <row r="38" spans="1:256" s="1095" customFormat="1" ht="12.75" customHeight="1">
      <c r="A38" s="2244" t="s">
        <v>960</v>
      </c>
      <c r="B38" s="2244"/>
      <c r="C38" s="2244"/>
      <c r="D38" s="2244"/>
      <c r="E38" s="2244"/>
      <c r="F38" s="2244"/>
      <c r="G38" s="2244"/>
      <c r="H38" s="2244"/>
      <c r="I38" s="1096"/>
      <c r="J38" s="1096"/>
      <c r="K38" s="1096"/>
      <c r="L38" s="1096"/>
    </row>
    <row r="39" spans="1:256" customFormat="1"/>
    <row r="40" spans="1:256" s="1095" customFormat="1" ht="25.5" customHeight="1">
      <c r="A40" s="2239" t="s">
        <v>101</v>
      </c>
      <c r="B40" s="2239"/>
      <c r="C40" s="2239"/>
      <c r="D40" s="2239"/>
      <c r="E40" s="2239"/>
      <c r="F40" s="2239"/>
      <c r="G40" s="2239"/>
      <c r="H40" s="2239"/>
      <c r="I40" s="1096"/>
      <c r="J40" s="1096"/>
      <c r="K40" s="1096"/>
      <c r="L40" s="1096"/>
    </row>
    <row r="41" spans="1:256" s="1095" customFormat="1">
      <c r="A41" s="1092"/>
      <c r="B41" s="1182"/>
      <c r="C41" s="1182"/>
      <c r="D41" s="1182"/>
      <c r="E41" s="1182"/>
      <c r="F41" s="1182"/>
      <c r="G41" s="1182"/>
      <c r="H41" s="1182"/>
      <c r="I41" s="1096"/>
      <c r="J41" s="1096"/>
      <c r="K41" s="1096"/>
      <c r="L41" s="1096"/>
    </row>
    <row r="42" spans="1:256" s="1095" customFormat="1" ht="12.75" customHeight="1">
      <c r="A42" s="2239" t="s">
        <v>97</v>
      </c>
      <c r="B42" s="2239"/>
      <c r="C42" s="2239"/>
      <c r="D42" s="2239"/>
      <c r="E42" s="2239"/>
      <c r="F42" s="2239"/>
      <c r="G42" s="2239"/>
      <c r="H42" s="2239"/>
      <c r="I42" s="1096"/>
      <c r="J42" s="1096"/>
      <c r="K42" s="1096"/>
      <c r="L42" s="1096"/>
    </row>
    <row r="43" spans="1:256" customFormat="1" ht="12.75" customHeight="1"/>
    <row r="44" spans="1:256" customFormat="1" ht="12.75" customHeight="1"/>
    <row r="45" spans="1:256" ht="15.95" customHeight="1">
      <c r="A45" s="2244" t="s">
        <v>102</v>
      </c>
      <c r="B45" s="2244"/>
      <c r="C45" s="2244"/>
      <c r="D45" s="2244"/>
      <c r="E45" s="2244"/>
      <c r="F45" s="2244"/>
      <c r="G45" s="2244"/>
      <c r="H45" s="2244"/>
    </row>
    <row r="46" spans="1:256" customFormat="1"/>
    <row r="47" spans="1:256" s="1098" customFormat="1" ht="12.75" customHeight="1">
      <c r="A47" s="2239" t="s">
        <v>2512</v>
      </c>
      <c r="B47" s="2239"/>
      <c r="C47" s="2239"/>
      <c r="D47" s="2239"/>
      <c r="E47" s="2239"/>
      <c r="F47" s="2239"/>
      <c r="G47" s="2239"/>
      <c r="H47" s="2239"/>
      <c r="I47" s="1097"/>
      <c r="J47" s="1097"/>
      <c r="K47" s="1097"/>
      <c r="L47" s="1097"/>
      <c r="M47" s="1097"/>
      <c r="N47" s="1097"/>
      <c r="O47" s="1097"/>
      <c r="P47" s="1097"/>
      <c r="Q47" s="1097"/>
      <c r="R47" s="1097"/>
      <c r="S47" s="1097"/>
      <c r="T47" s="1097"/>
      <c r="U47" s="1097"/>
      <c r="V47" s="1097"/>
      <c r="W47" s="1097"/>
      <c r="X47" s="1097"/>
      <c r="Y47" s="1097"/>
      <c r="Z47" s="1097"/>
      <c r="AA47" s="1097"/>
      <c r="AB47" s="1097"/>
      <c r="AC47" s="1097"/>
      <c r="AD47" s="1097"/>
      <c r="AE47" s="1097"/>
      <c r="AF47" s="1097"/>
      <c r="AG47" s="1097"/>
      <c r="AH47" s="1097"/>
      <c r="AI47" s="1097"/>
      <c r="AJ47" s="1097"/>
      <c r="AK47" s="1097"/>
      <c r="AL47" s="1097"/>
      <c r="AM47" s="1097"/>
      <c r="AN47" s="1097"/>
      <c r="AO47" s="1097"/>
      <c r="AP47" s="1097"/>
      <c r="AQ47" s="1097"/>
      <c r="AR47" s="1097"/>
      <c r="AS47" s="1097"/>
      <c r="AT47" s="1097"/>
      <c r="AU47" s="1097"/>
      <c r="AV47" s="1097"/>
      <c r="AW47" s="1097"/>
      <c r="AX47" s="1097"/>
      <c r="AY47" s="1097"/>
      <c r="AZ47" s="1097"/>
      <c r="BA47" s="1097"/>
      <c r="BB47" s="1097"/>
      <c r="BC47" s="1097"/>
      <c r="BD47" s="1097"/>
      <c r="BE47" s="1097"/>
      <c r="BF47" s="1097"/>
      <c r="BG47" s="1097"/>
      <c r="BH47" s="1097"/>
      <c r="BI47" s="1097"/>
      <c r="BJ47" s="1097"/>
      <c r="BK47" s="1097"/>
      <c r="BL47" s="1097"/>
      <c r="BM47" s="1097"/>
      <c r="BN47" s="1097"/>
      <c r="BO47" s="1097"/>
      <c r="BP47" s="1097"/>
      <c r="BQ47" s="1097"/>
      <c r="BR47" s="1097"/>
      <c r="BS47" s="1097"/>
      <c r="BT47" s="1097"/>
      <c r="BU47" s="1097"/>
      <c r="BV47" s="1097"/>
      <c r="BW47" s="1097"/>
      <c r="BX47" s="1097"/>
      <c r="BY47" s="1097"/>
      <c r="BZ47" s="1097"/>
      <c r="CA47" s="1097"/>
      <c r="CB47" s="1097"/>
      <c r="CC47" s="1097"/>
      <c r="CD47" s="1097"/>
      <c r="CE47" s="1097"/>
      <c r="CF47" s="1097"/>
      <c r="CG47" s="1097"/>
      <c r="CH47" s="1097"/>
      <c r="CI47" s="1097"/>
      <c r="CJ47" s="1097"/>
      <c r="CK47" s="1097"/>
      <c r="CL47" s="1097"/>
      <c r="CM47" s="1097"/>
      <c r="CN47" s="1097"/>
      <c r="CO47" s="1097"/>
      <c r="CP47" s="1097"/>
      <c r="CQ47" s="1097"/>
      <c r="CR47" s="1097"/>
      <c r="CS47" s="1097"/>
      <c r="CT47" s="1097"/>
      <c r="CU47" s="1097"/>
      <c r="CV47" s="1097"/>
      <c r="CW47" s="1097"/>
      <c r="CX47" s="1097"/>
      <c r="CY47" s="1097"/>
      <c r="CZ47" s="1097"/>
      <c r="DA47" s="1097"/>
      <c r="DB47" s="1097"/>
      <c r="DC47" s="1097"/>
      <c r="DD47" s="1097"/>
      <c r="DE47" s="1097"/>
      <c r="DF47" s="1097"/>
      <c r="DG47" s="1097"/>
      <c r="DH47" s="1097"/>
      <c r="DI47" s="1097"/>
      <c r="DJ47" s="1097"/>
      <c r="DK47" s="1097"/>
      <c r="DL47" s="1097"/>
      <c r="DM47" s="1097"/>
      <c r="DN47" s="1097"/>
      <c r="DO47" s="1097"/>
      <c r="DP47" s="1097"/>
      <c r="DQ47" s="1097"/>
      <c r="DR47" s="1097"/>
      <c r="DS47" s="1097"/>
      <c r="DT47" s="1097"/>
      <c r="DU47" s="1097"/>
      <c r="DV47" s="1097"/>
      <c r="DW47" s="1097"/>
      <c r="DX47" s="1097"/>
      <c r="DY47" s="1097"/>
      <c r="DZ47" s="1097"/>
      <c r="EA47" s="1097"/>
      <c r="EB47" s="1097"/>
      <c r="EC47" s="1097"/>
      <c r="ED47" s="1097"/>
      <c r="EE47" s="1097"/>
      <c r="EF47" s="1097"/>
      <c r="EG47" s="1097"/>
      <c r="EH47" s="1097"/>
      <c r="EI47" s="1097"/>
      <c r="EJ47" s="1097"/>
      <c r="EK47" s="1097"/>
      <c r="EL47" s="1097"/>
      <c r="EM47" s="1097"/>
      <c r="EN47" s="1097"/>
      <c r="EO47" s="1097"/>
      <c r="EP47" s="1097"/>
      <c r="EQ47" s="1097"/>
      <c r="ER47" s="1097"/>
      <c r="ES47" s="1097"/>
      <c r="ET47" s="1097"/>
      <c r="EU47" s="1097"/>
      <c r="EV47" s="1097"/>
      <c r="EW47" s="1097"/>
      <c r="EX47" s="1097"/>
      <c r="EY47" s="1097"/>
      <c r="EZ47" s="1097"/>
      <c r="FA47" s="1097"/>
      <c r="FB47" s="1097"/>
      <c r="FC47" s="1097"/>
      <c r="FD47" s="1097"/>
      <c r="FE47" s="1097"/>
      <c r="FF47" s="1097"/>
      <c r="FG47" s="1097"/>
      <c r="FH47" s="1097"/>
      <c r="FI47" s="1097"/>
      <c r="FJ47" s="1097"/>
      <c r="FK47" s="1097"/>
      <c r="FL47" s="1097"/>
      <c r="FM47" s="1097"/>
      <c r="FN47" s="1097"/>
      <c r="FO47" s="1097"/>
      <c r="FP47" s="1097"/>
      <c r="FQ47" s="1097"/>
      <c r="FR47" s="1097"/>
      <c r="FS47" s="1097"/>
      <c r="FT47" s="1097"/>
      <c r="FU47" s="1097"/>
      <c r="FV47" s="1097"/>
      <c r="FW47" s="1097"/>
      <c r="FX47" s="1097"/>
      <c r="FY47" s="1097"/>
      <c r="FZ47" s="1097"/>
      <c r="GA47" s="1097"/>
      <c r="GB47" s="1097"/>
      <c r="GC47" s="1097"/>
      <c r="GD47" s="1097"/>
      <c r="GE47" s="1097"/>
      <c r="GF47" s="1097"/>
      <c r="GG47" s="1097"/>
      <c r="GH47" s="1097"/>
      <c r="GI47" s="1097"/>
      <c r="GJ47" s="1097"/>
      <c r="GK47" s="1097"/>
      <c r="GL47" s="1097"/>
      <c r="GM47" s="1097"/>
      <c r="GN47" s="1097"/>
      <c r="GO47" s="1097"/>
      <c r="GP47" s="1097"/>
      <c r="GQ47" s="1097"/>
      <c r="GR47" s="1097"/>
      <c r="GS47" s="1097"/>
      <c r="GT47" s="1097"/>
      <c r="GU47" s="1097"/>
      <c r="GV47" s="1097"/>
      <c r="GW47" s="1097"/>
      <c r="GX47" s="1097"/>
      <c r="GY47" s="1097"/>
      <c r="GZ47" s="1097"/>
      <c r="HA47" s="1097"/>
      <c r="HB47" s="1097"/>
      <c r="HC47" s="1097"/>
      <c r="HD47" s="1097"/>
      <c r="HE47" s="1097"/>
      <c r="HF47" s="1097"/>
      <c r="HG47" s="1097"/>
      <c r="HH47" s="1097"/>
      <c r="HI47" s="1097"/>
      <c r="HJ47" s="1097"/>
      <c r="HK47" s="1097"/>
      <c r="HL47" s="1097"/>
      <c r="HM47" s="1097"/>
      <c r="HN47" s="1097"/>
      <c r="HO47" s="1097"/>
      <c r="HP47" s="1097"/>
      <c r="HQ47" s="1097"/>
      <c r="HR47" s="1097"/>
      <c r="HS47" s="1097"/>
      <c r="HT47" s="1097"/>
      <c r="HU47" s="1097"/>
      <c r="HV47" s="1097"/>
      <c r="HW47" s="1097"/>
      <c r="HX47" s="1097"/>
      <c r="HY47" s="1097"/>
      <c r="HZ47" s="1097"/>
      <c r="IA47" s="1097"/>
      <c r="IB47" s="1097"/>
      <c r="IC47" s="1097"/>
      <c r="ID47" s="1097"/>
      <c r="IE47" s="1097"/>
      <c r="IF47" s="1097"/>
      <c r="IG47" s="1097"/>
      <c r="IH47" s="1097"/>
      <c r="II47" s="1097"/>
      <c r="IJ47" s="1097"/>
      <c r="IK47" s="1097"/>
      <c r="IL47" s="1097"/>
      <c r="IM47" s="1097"/>
      <c r="IN47" s="1097"/>
      <c r="IO47" s="1097"/>
      <c r="IP47" s="1097"/>
      <c r="IQ47" s="1097"/>
      <c r="IR47" s="1097"/>
      <c r="IS47" s="1097"/>
      <c r="IT47" s="1097"/>
      <c r="IU47" s="1097"/>
      <c r="IV47" s="1097"/>
    </row>
    <row r="48" spans="1:256" customFormat="1"/>
    <row r="49" spans="1:256" customFormat="1"/>
    <row r="50" spans="1:256" ht="12.75" customHeight="1">
      <c r="A50" s="2244" t="s">
        <v>960</v>
      </c>
      <c r="B50" s="2244"/>
      <c r="C50" s="2244"/>
      <c r="D50" s="2244"/>
      <c r="E50" s="2244"/>
      <c r="F50" s="2244"/>
      <c r="G50" s="2244"/>
      <c r="H50" s="2244"/>
    </row>
    <row r="51" spans="1:256" customFormat="1"/>
    <row r="52" spans="1:256" ht="12.75" customHeight="1">
      <c r="A52" s="2239" t="s">
        <v>103</v>
      </c>
      <c r="B52" s="2239"/>
      <c r="C52" s="2239"/>
      <c r="D52" s="2239"/>
      <c r="E52" s="2239"/>
      <c r="F52" s="2239"/>
      <c r="G52" s="2239"/>
      <c r="H52" s="2239"/>
    </row>
    <row r="53" spans="1:256" customFormat="1"/>
    <row r="54" spans="1:256" s="1098" customFormat="1" ht="12.75" customHeight="1">
      <c r="A54" s="2239" t="s">
        <v>104</v>
      </c>
      <c r="B54" s="2239"/>
      <c r="C54" s="2239"/>
      <c r="D54" s="2239"/>
      <c r="E54" s="2239"/>
      <c r="F54" s="2239"/>
      <c r="G54" s="2239"/>
      <c r="H54" s="2239"/>
      <c r="I54" s="1097"/>
      <c r="J54" s="1097"/>
      <c r="K54" s="1097"/>
      <c r="L54" s="1097"/>
      <c r="M54" s="1097"/>
      <c r="N54" s="1097"/>
      <c r="O54" s="1097"/>
      <c r="P54" s="1097"/>
      <c r="Q54" s="1097"/>
      <c r="R54" s="1097"/>
      <c r="S54" s="1097"/>
      <c r="T54" s="1097"/>
      <c r="U54" s="1097"/>
      <c r="V54" s="1097"/>
      <c r="W54" s="1097"/>
      <c r="X54" s="1097"/>
      <c r="Y54" s="1097"/>
      <c r="Z54" s="1097"/>
      <c r="AA54" s="1097"/>
      <c r="AB54" s="1097"/>
      <c r="AC54" s="1097"/>
      <c r="AD54" s="1097"/>
      <c r="AE54" s="1097"/>
      <c r="AF54" s="1097"/>
      <c r="AG54" s="1097"/>
      <c r="AH54" s="1097"/>
      <c r="AI54" s="1097"/>
      <c r="AJ54" s="1097"/>
      <c r="AK54" s="1097"/>
      <c r="AL54" s="1097"/>
      <c r="AM54" s="1097"/>
      <c r="AN54" s="1097"/>
      <c r="AO54" s="1097"/>
      <c r="AP54" s="1097"/>
      <c r="AQ54" s="1097"/>
      <c r="AR54" s="1097"/>
      <c r="AS54" s="1097"/>
      <c r="AT54" s="1097"/>
      <c r="AU54" s="1097"/>
      <c r="AV54" s="1097"/>
      <c r="AW54" s="1097"/>
      <c r="AX54" s="1097"/>
      <c r="AY54" s="1097"/>
      <c r="AZ54" s="1097"/>
      <c r="BA54" s="1097"/>
      <c r="BB54" s="1097"/>
      <c r="BC54" s="1097"/>
      <c r="BD54" s="1097"/>
      <c r="BE54" s="1097"/>
      <c r="BF54" s="1097"/>
      <c r="BG54" s="1097"/>
      <c r="BH54" s="1097"/>
      <c r="BI54" s="1097"/>
      <c r="BJ54" s="1097"/>
      <c r="BK54" s="1097"/>
      <c r="BL54" s="1097"/>
      <c r="BM54" s="1097"/>
      <c r="BN54" s="1097"/>
      <c r="BO54" s="1097"/>
      <c r="BP54" s="1097"/>
      <c r="BQ54" s="1097"/>
      <c r="BR54" s="1097"/>
      <c r="BS54" s="1097"/>
      <c r="BT54" s="1097"/>
      <c r="BU54" s="1097"/>
      <c r="BV54" s="1097"/>
      <c r="BW54" s="1097"/>
      <c r="BX54" s="1097"/>
      <c r="BY54" s="1097"/>
      <c r="BZ54" s="1097"/>
      <c r="CA54" s="1097"/>
      <c r="CB54" s="1097"/>
      <c r="CC54" s="1097"/>
      <c r="CD54" s="1097"/>
      <c r="CE54" s="1097"/>
      <c r="CF54" s="1097"/>
      <c r="CG54" s="1097"/>
      <c r="CH54" s="1097"/>
      <c r="CI54" s="1097"/>
      <c r="CJ54" s="1097"/>
      <c r="CK54" s="1097"/>
      <c r="CL54" s="1097"/>
      <c r="CM54" s="1097"/>
      <c r="CN54" s="1097"/>
      <c r="CO54" s="1097"/>
      <c r="CP54" s="1097"/>
      <c r="CQ54" s="1097"/>
      <c r="CR54" s="1097"/>
      <c r="CS54" s="1097"/>
      <c r="CT54" s="1097"/>
      <c r="CU54" s="1097"/>
      <c r="CV54" s="1097"/>
      <c r="CW54" s="1097"/>
      <c r="CX54" s="1097"/>
      <c r="CY54" s="1097"/>
      <c r="CZ54" s="1097"/>
      <c r="DA54" s="1097"/>
      <c r="DB54" s="1097"/>
      <c r="DC54" s="1097"/>
      <c r="DD54" s="1097"/>
      <c r="DE54" s="1097"/>
      <c r="DF54" s="1097"/>
      <c r="DG54" s="1097"/>
      <c r="DH54" s="1097"/>
      <c r="DI54" s="1097"/>
      <c r="DJ54" s="1097"/>
      <c r="DK54" s="1097"/>
      <c r="DL54" s="1097"/>
      <c r="DM54" s="1097"/>
      <c r="DN54" s="1097"/>
      <c r="DO54" s="1097"/>
      <c r="DP54" s="1097"/>
      <c r="DQ54" s="1097"/>
      <c r="DR54" s="1097"/>
      <c r="DS54" s="1097"/>
      <c r="DT54" s="1097"/>
      <c r="DU54" s="1097"/>
      <c r="DV54" s="1097"/>
      <c r="DW54" s="1097"/>
      <c r="DX54" s="1097"/>
      <c r="DY54" s="1097"/>
      <c r="DZ54" s="1097"/>
      <c r="EA54" s="1097"/>
      <c r="EB54" s="1097"/>
      <c r="EC54" s="1097"/>
      <c r="ED54" s="1097"/>
      <c r="EE54" s="1097"/>
      <c r="EF54" s="1097"/>
      <c r="EG54" s="1097"/>
      <c r="EH54" s="1097"/>
      <c r="EI54" s="1097"/>
      <c r="EJ54" s="1097"/>
      <c r="EK54" s="1097"/>
      <c r="EL54" s="1097"/>
      <c r="EM54" s="1097"/>
      <c r="EN54" s="1097"/>
      <c r="EO54" s="1097"/>
      <c r="EP54" s="1097"/>
      <c r="EQ54" s="1097"/>
      <c r="ER54" s="1097"/>
      <c r="ES54" s="1097"/>
      <c r="ET54" s="1097"/>
      <c r="EU54" s="1097"/>
      <c r="EV54" s="1097"/>
      <c r="EW54" s="1097"/>
      <c r="EX54" s="1097"/>
      <c r="EY54" s="1097"/>
      <c r="EZ54" s="1097"/>
      <c r="FA54" s="1097"/>
      <c r="FB54" s="1097"/>
      <c r="FC54" s="1097"/>
      <c r="FD54" s="1097"/>
      <c r="FE54" s="1097"/>
      <c r="FF54" s="1097"/>
      <c r="FG54" s="1097"/>
      <c r="FH54" s="1097"/>
      <c r="FI54" s="1097"/>
      <c r="FJ54" s="1097"/>
      <c r="FK54" s="1097"/>
      <c r="FL54" s="1097"/>
      <c r="FM54" s="1097"/>
      <c r="FN54" s="1097"/>
      <c r="FO54" s="1097"/>
      <c r="FP54" s="1097"/>
      <c r="FQ54" s="1097"/>
      <c r="FR54" s="1097"/>
      <c r="FS54" s="1097"/>
      <c r="FT54" s="1097"/>
      <c r="FU54" s="1097"/>
      <c r="FV54" s="1097"/>
      <c r="FW54" s="1097"/>
      <c r="FX54" s="1097"/>
      <c r="FY54" s="1097"/>
      <c r="FZ54" s="1097"/>
      <c r="GA54" s="1097"/>
      <c r="GB54" s="1097"/>
      <c r="GC54" s="1097"/>
      <c r="GD54" s="1097"/>
      <c r="GE54" s="1097"/>
      <c r="GF54" s="1097"/>
      <c r="GG54" s="1097"/>
      <c r="GH54" s="1097"/>
      <c r="GI54" s="1097"/>
      <c r="GJ54" s="1097"/>
      <c r="GK54" s="1097"/>
      <c r="GL54" s="1097"/>
      <c r="GM54" s="1097"/>
      <c r="GN54" s="1097"/>
      <c r="GO54" s="1097"/>
      <c r="GP54" s="1097"/>
      <c r="GQ54" s="1097"/>
      <c r="GR54" s="1097"/>
      <c r="GS54" s="1097"/>
      <c r="GT54" s="1097"/>
      <c r="GU54" s="1097"/>
      <c r="GV54" s="1097"/>
      <c r="GW54" s="1097"/>
      <c r="GX54" s="1097"/>
      <c r="GY54" s="1097"/>
      <c r="GZ54" s="1097"/>
      <c r="HA54" s="1097"/>
      <c r="HB54" s="1097"/>
      <c r="HC54" s="1097"/>
      <c r="HD54" s="1097"/>
      <c r="HE54" s="1097"/>
      <c r="HF54" s="1097"/>
      <c r="HG54" s="1097"/>
      <c r="HH54" s="1097"/>
      <c r="HI54" s="1097"/>
      <c r="HJ54" s="1097"/>
      <c r="HK54" s="1097"/>
      <c r="HL54" s="1097"/>
      <c r="HM54" s="1097"/>
      <c r="HN54" s="1097"/>
      <c r="HO54" s="1097"/>
      <c r="HP54" s="1097"/>
      <c r="HQ54" s="1097"/>
      <c r="HR54" s="1097"/>
      <c r="HS54" s="1097"/>
      <c r="HT54" s="1097"/>
      <c r="HU54" s="1097"/>
      <c r="HV54" s="1097"/>
      <c r="HW54" s="1097"/>
      <c r="HX54" s="1097"/>
      <c r="HY54" s="1097"/>
      <c r="HZ54" s="1097"/>
      <c r="IA54" s="1097"/>
      <c r="IB54" s="1097"/>
      <c r="IC54" s="1097"/>
      <c r="ID54" s="1097"/>
      <c r="IE54" s="1097"/>
      <c r="IF54" s="1097"/>
      <c r="IG54" s="1097"/>
      <c r="IH54" s="1097"/>
      <c r="II54" s="1097"/>
      <c r="IJ54" s="1097"/>
      <c r="IK54" s="1097"/>
      <c r="IL54" s="1097"/>
      <c r="IM54" s="1097"/>
      <c r="IN54" s="1097"/>
      <c r="IO54" s="1097"/>
      <c r="IP54" s="1097"/>
      <c r="IQ54" s="1097"/>
      <c r="IR54" s="1097"/>
      <c r="IS54" s="1097"/>
      <c r="IT54" s="1097"/>
      <c r="IU54" s="1097"/>
      <c r="IV54" s="1097"/>
    </row>
    <row r="55" spans="1:256" customFormat="1"/>
    <row r="56" spans="1:256" customFormat="1"/>
    <row r="57" spans="1:256" ht="12.75" customHeight="1">
      <c r="A57" s="2244" t="s">
        <v>105</v>
      </c>
      <c r="B57" s="2244"/>
      <c r="C57" s="2244"/>
      <c r="D57" s="2244"/>
      <c r="E57" s="2244"/>
      <c r="F57" s="2244"/>
      <c r="G57" s="2244"/>
      <c r="H57" s="2244"/>
    </row>
    <row r="58" spans="1:256" customFormat="1"/>
    <row r="59" spans="1:256" s="1097" customFormat="1" ht="12.75" customHeight="1">
      <c r="A59" s="2239" t="s">
        <v>106</v>
      </c>
      <c r="B59" s="2239"/>
      <c r="C59" s="2239"/>
      <c r="D59" s="2239"/>
      <c r="E59" s="2239"/>
      <c r="F59" s="2239"/>
      <c r="G59" s="2239"/>
      <c r="H59" s="2239"/>
    </row>
    <row r="60" spans="1:256" customFormat="1"/>
    <row r="61" spans="1:256" s="1097" customFormat="1" ht="12.75" customHeight="1">
      <c r="A61" s="2239" t="s">
        <v>107</v>
      </c>
      <c r="B61" s="2239"/>
      <c r="C61" s="2239"/>
      <c r="D61" s="2239"/>
      <c r="E61" s="2239"/>
      <c r="F61" s="2239"/>
      <c r="G61" s="2239"/>
      <c r="H61" s="2239"/>
    </row>
    <row r="62" spans="1:256" customFormat="1"/>
    <row r="63" spans="1:256" s="1098" customFormat="1" ht="25.5" customHeight="1">
      <c r="A63" s="2239" t="s">
        <v>2513</v>
      </c>
      <c r="B63" s="2239"/>
      <c r="C63" s="2239"/>
      <c r="D63" s="2239"/>
      <c r="E63" s="2239"/>
      <c r="F63" s="2239"/>
      <c r="G63" s="2239"/>
      <c r="H63" s="2239"/>
      <c r="I63" s="1097"/>
      <c r="J63" s="1097"/>
      <c r="K63" s="1097"/>
      <c r="L63" s="1097"/>
      <c r="M63" s="1097"/>
      <c r="N63" s="1097"/>
      <c r="O63" s="1097"/>
      <c r="P63" s="1097"/>
      <c r="Q63" s="1097"/>
      <c r="R63" s="1097"/>
      <c r="S63" s="1097"/>
      <c r="T63" s="1097"/>
      <c r="U63" s="1097"/>
      <c r="V63" s="1097"/>
      <c r="W63" s="1097"/>
      <c r="X63" s="1097"/>
      <c r="Y63" s="1097"/>
      <c r="Z63" s="1097"/>
      <c r="AA63" s="1097"/>
      <c r="AB63" s="1097"/>
      <c r="AC63" s="1097"/>
      <c r="AD63" s="1097"/>
      <c r="AE63" s="1097"/>
      <c r="AF63" s="1097"/>
      <c r="AG63" s="1097"/>
      <c r="AH63" s="1097"/>
      <c r="AI63" s="1097"/>
      <c r="AJ63" s="1097"/>
      <c r="AK63" s="1097"/>
      <c r="AL63" s="1097"/>
      <c r="AM63" s="1097"/>
      <c r="AN63" s="1097"/>
      <c r="AO63" s="1097"/>
      <c r="AP63" s="1097"/>
      <c r="AQ63" s="1097"/>
      <c r="AR63" s="1097"/>
      <c r="AS63" s="1097"/>
      <c r="AT63" s="1097"/>
      <c r="AU63" s="1097"/>
      <c r="AV63" s="1097"/>
      <c r="AW63" s="1097"/>
      <c r="AX63" s="1097"/>
      <c r="AY63" s="1097"/>
      <c r="AZ63" s="1097"/>
      <c r="BA63" s="1097"/>
      <c r="BB63" s="1097"/>
      <c r="BC63" s="1097"/>
      <c r="BD63" s="1097"/>
      <c r="BE63" s="1097"/>
      <c r="BF63" s="1097"/>
      <c r="BG63" s="1097"/>
      <c r="BH63" s="1097"/>
      <c r="BI63" s="1097"/>
      <c r="BJ63" s="1097"/>
      <c r="BK63" s="1097"/>
      <c r="BL63" s="1097"/>
      <c r="BM63" s="1097"/>
      <c r="BN63" s="1097"/>
      <c r="BO63" s="1097"/>
      <c r="BP63" s="1097"/>
      <c r="BQ63" s="1097"/>
      <c r="BR63" s="1097"/>
      <c r="BS63" s="1097"/>
      <c r="BT63" s="1097"/>
      <c r="BU63" s="1097"/>
      <c r="BV63" s="1097"/>
      <c r="BW63" s="1097"/>
      <c r="BX63" s="1097"/>
      <c r="BY63" s="1097"/>
      <c r="BZ63" s="1097"/>
      <c r="CA63" s="1097"/>
      <c r="CB63" s="1097"/>
      <c r="CC63" s="1097"/>
      <c r="CD63" s="1097"/>
      <c r="CE63" s="1097"/>
      <c r="CF63" s="1097"/>
      <c r="CG63" s="1097"/>
      <c r="CH63" s="1097"/>
      <c r="CI63" s="1097"/>
      <c r="CJ63" s="1097"/>
      <c r="CK63" s="1097"/>
      <c r="CL63" s="1097"/>
      <c r="CM63" s="1097"/>
      <c r="CN63" s="1097"/>
      <c r="CO63" s="1097"/>
      <c r="CP63" s="1097"/>
      <c r="CQ63" s="1097"/>
      <c r="CR63" s="1097"/>
      <c r="CS63" s="1097"/>
      <c r="CT63" s="1097"/>
      <c r="CU63" s="1097"/>
      <c r="CV63" s="1097"/>
      <c r="CW63" s="1097"/>
      <c r="CX63" s="1097"/>
      <c r="CY63" s="1097"/>
      <c r="CZ63" s="1097"/>
      <c r="DA63" s="1097"/>
      <c r="DB63" s="1097"/>
      <c r="DC63" s="1097"/>
      <c r="DD63" s="1097"/>
      <c r="DE63" s="1097"/>
      <c r="DF63" s="1097"/>
      <c r="DG63" s="1097"/>
      <c r="DH63" s="1097"/>
      <c r="DI63" s="1097"/>
      <c r="DJ63" s="1097"/>
      <c r="DK63" s="1097"/>
      <c r="DL63" s="1097"/>
      <c r="DM63" s="1097"/>
      <c r="DN63" s="1097"/>
      <c r="DO63" s="1097"/>
      <c r="DP63" s="1097"/>
      <c r="DQ63" s="1097"/>
      <c r="DR63" s="1097"/>
      <c r="DS63" s="1097"/>
      <c r="DT63" s="1097"/>
      <c r="DU63" s="1097"/>
      <c r="DV63" s="1097"/>
      <c r="DW63" s="1097"/>
      <c r="DX63" s="1097"/>
      <c r="DY63" s="1097"/>
      <c r="DZ63" s="1097"/>
      <c r="EA63" s="1097"/>
      <c r="EB63" s="1097"/>
      <c r="EC63" s="1097"/>
      <c r="ED63" s="1097"/>
      <c r="EE63" s="1097"/>
      <c r="EF63" s="1097"/>
      <c r="EG63" s="1097"/>
      <c r="EH63" s="1097"/>
      <c r="EI63" s="1097"/>
      <c r="EJ63" s="1097"/>
      <c r="EK63" s="1097"/>
      <c r="EL63" s="1097"/>
      <c r="EM63" s="1097"/>
      <c r="EN63" s="1097"/>
      <c r="EO63" s="1097"/>
      <c r="EP63" s="1097"/>
      <c r="EQ63" s="1097"/>
      <c r="ER63" s="1097"/>
      <c r="ES63" s="1097"/>
      <c r="ET63" s="1097"/>
      <c r="EU63" s="1097"/>
      <c r="EV63" s="1097"/>
      <c r="EW63" s="1097"/>
      <c r="EX63" s="1097"/>
      <c r="EY63" s="1097"/>
      <c r="EZ63" s="1097"/>
      <c r="FA63" s="1097"/>
      <c r="FB63" s="1097"/>
      <c r="FC63" s="1097"/>
      <c r="FD63" s="1097"/>
      <c r="FE63" s="1097"/>
      <c r="FF63" s="1097"/>
      <c r="FG63" s="1097"/>
      <c r="FH63" s="1097"/>
      <c r="FI63" s="1097"/>
      <c r="FJ63" s="1097"/>
      <c r="FK63" s="1097"/>
      <c r="FL63" s="1097"/>
      <c r="FM63" s="1097"/>
      <c r="FN63" s="1097"/>
      <c r="FO63" s="1097"/>
      <c r="FP63" s="1097"/>
      <c r="FQ63" s="1097"/>
      <c r="FR63" s="1097"/>
      <c r="FS63" s="1097"/>
      <c r="FT63" s="1097"/>
      <c r="FU63" s="1097"/>
      <c r="FV63" s="1097"/>
      <c r="FW63" s="1097"/>
      <c r="FX63" s="1097"/>
      <c r="FY63" s="1097"/>
      <c r="FZ63" s="1097"/>
      <c r="GA63" s="1097"/>
      <c r="GB63" s="1097"/>
      <c r="GC63" s="1097"/>
      <c r="GD63" s="1097"/>
      <c r="GE63" s="1097"/>
      <c r="GF63" s="1097"/>
      <c r="GG63" s="1097"/>
      <c r="GH63" s="1097"/>
      <c r="GI63" s="1097"/>
      <c r="GJ63" s="1097"/>
      <c r="GK63" s="1097"/>
      <c r="GL63" s="1097"/>
      <c r="GM63" s="1097"/>
      <c r="GN63" s="1097"/>
      <c r="GO63" s="1097"/>
      <c r="GP63" s="1097"/>
      <c r="GQ63" s="1097"/>
      <c r="GR63" s="1097"/>
      <c r="GS63" s="1097"/>
      <c r="GT63" s="1097"/>
      <c r="GU63" s="1097"/>
      <c r="GV63" s="1097"/>
      <c r="GW63" s="1097"/>
      <c r="GX63" s="1097"/>
      <c r="GY63" s="1097"/>
      <c r="GZ63" s="1097"/>
      <c r="HA63" s="1097"/>
      <c r="HB63" s="1097"/>
      <c r="HC63" s="1097"/>
      <c r="HD63" s="1097"/>
      <c r="HE63" s="1097"/>
      <c r="HF63" s="1097"/>
      <c r="HG63" s="1097"/>
      <c r="HH63" s="1097"/>
      <c r="HI63" s="1097"/>
      <c r="HJ63" s="1097"/>
      <c r="HK63" s="1097"/>
      <c r="HL63" s="1097"/>
      <c r="HM63" s="1097"/>
      <c r="HN63" s="1097"/>
      <c r="HO63" s="1097"/>
      <c r="HP63" s="1097"/>
      <c r="HQ63" s="1097"/>
      <c r="HR63" s="1097"/>
      <c r="HS63" s="1097"/>
      <c r="HT63" s="1097"/>
      <c r="HU63" s="1097"/>
      <c r="HV63" s="1097"/>
      <c r="HW63" s="1097"/>
      <c r="HX63" s="1097"/>
      <c r="HY63" s="1097"/>
      <c r="HZ63" s="1097"/>
      <c r="IA63" s="1097"/>
      <c r="IB63" s="1097"/>
      <c r="IC63" s="1097"/>
      <c r="ID63" s="1097"/>
      <c r="IE63" s="1097"/>
      <c r="IF63" s="1097"/>
      <c r="IG63" s="1097"/>
      <c r="IH63" s="1097"/>
      <c r="II63" s="1097"/>
      <c r="IJ63" s="1097"/>
      <c r="IK63" s="1097"/>
      <c r="IL63" s="1097"/>
      <c r="IM63" s="1097"/>
      <c r="IN63" s="1097"/>
      <c r="IO63" s="1097"/>
      <c r="IP63" s="1097"/>
      <c r="IQ63" s="1097"/>
      <c r="IR63" s="1097"/>
      <c r="IS63" s="1097"/>
      <c r="IT63" s="1097"/>
      <c r="IU63" s="1097"/>
      <c r="IV63" s="1097"/>
    </row>
    <row r="64" spans="1:256" customFormat="1" ht="12.75" customHeight="1"/>
    <row r="65" spans="1:256" customFormat="1"/>
    <row r="66" spans="1:256" s="1098" customFormat="1" ht="12.75" customHeight="1">
      <c r="A66" s="2244" t="s">
        <v>960</v>
      </c>
      <c r="B66" s="2244"/>
      <c r="C66" s="2244"/>
      <c r="D66" s="2244"/>
      <c r="E66" s="2244"/>
      <c r="F66" s="2244"/>
      <c r="G66" s="2244"/>
      <c r="H66" s="2244"/>
      <c r="I66" s="1097"/>
      <c r="J66" s="1097"/>
      <c r="K66" s="1097"/>
      <c r="L66" s="1097"/>
      <c r="M66" s="1097"/>
      <c r="N66" s="1097"/>
      <c r="O66" s="1097"/>
      <c r="P66" s="1097"/>
      <c r="Q66" s="1097"/>
      <c r="R66" s="1097"/>
      <c r="S66" s="1097"/>
      <c r="T66" s="1097"/>
      <c r="U66" s="1097"/>
      <c r="V66" s="1097"/>
      <c r="W66" s="1097"/>
      <c r="X66" s="1097"/>
      <c r="Y66" s="1097"/>
      <c r="Z66" s="1097"/>
      <c r="AA66" s="1097"/>
      <c r="AB66" s="1097"/>
      <c r="AC66" s="1097"/>
      <c r="AD66" s="1097"/>
      <c r="AE66" s="1097"/>
      <c r="AF66" s="1097"/>
      <c r="AG66" s="1097"/>
      <c r="AH66" s="1097"/>
      <c r="AI66" s="1097"/>
      <c r="AJ66" s="1097"/>
      <c r="AK66" s="1097"/>
      <c r="AL66" s="1097"/>
      <c r="AM66" s="1097"/>
      <c r="AN66" s="1097"/>
      <c r="AO66" s="1097"/>
      <c r="AP66" s="1097"/>
      <c r="AQ66" s="1097"/>
      <c r="AR66" s="1097"/>
      <c r="AS66" s="1097"/>
      <c r="AT66" s="1097"/>
      <c r="AU66" s="1097"/>
      <c r="AV66" s="1097"/>
      <c r="AW66" s="1097"/>
      <c r="AX66" s="1097"/>
      <c r="AY66" s="1097"/>
      <c r="AZ66" s="1097"/>
      <c r="BA66" s="1097"/>
      <c r="BB66" s="1097"/>
      <c r="BC66" s="1097"/>
      <c r="BD66" s="1097"/>
      <c r="BE66" s="1097"/>
      <c r="BF66" s="1097"/>
      <c r="BG66" s="1097"/>
      <c r="BH66" s="1097"/>
      <c r="BI66" s="1097"/>
      <c r="BJ66" s="1097"/>
      <c r="BK66" s="1097"/>
      <c r="BL66" s="1097"/>
      <c r="BM66" s="1097"/>
      <c r="BN66" s="1097"/>
      <c r="BO66" s="1097"/>
      <c r="BP66" s="1097"/>
      <c r="BQ66" s="1097"/>
      <c r="BR66" s="1097"/>
      <c r="BS66" s="1097"/>
      <c r="BT66" s="1097"/>
      <c r="BU66" s="1097"/>
      <c r="BV66" s="1097"/>
      <c r="BW66" s="1097"/>
      <c r="BX66" s="1097"/>
      <c r="BY66" s="1097"/>
      <c r="BZ66" s="1097"/>
      <c r="CA66" s="1097"/>
      <c r="CB66" s="1097"/>
      <c r="CC66" s="1097"/>
      <c r="CD66" s="1097"/>
      <c r="CE66" s="1097"/>
      <c r="CF66" s="1097"/>
      <c r="CG66" s="1097"/>
      <c r="CH66" s="1097"/>
      <c r="CI66" s="1097"/>
      <c r="CJ66" s="1097"/>
      <c r="CK66" s="1097"/>
      <c r="CL66" s="1097"/>
      <c r="CM66" s="1097"/>
      <c r="CN66" s="1097"/>
      <c r="CO66" s="1097"/>
      <c r="CP66" s="1097"/>
      <c r="CQ66" s="1097"/>
      <c r="CR66" s="1097"/>
      <c r="CS66" s="1097"/>
      <c r="CT66" s="1097"/>
      <c r="CU66" s="1097"/>
      <c r="CV66" s="1097"/>
      <c r="CW66" s="1097"/>
      <c r="CX66" s="1097"/>
      <c r="CY66" s="1097"/>
      <c r="CZ66" s="1097"/>
      <c r="DA66" s="1097"/>
      <c r="DB66" s="1097"/>
      <c r="DC66" s="1097"/>
      <c r="DD66" s="1097"/>
      <c r="DE66" s="1097"/>
      <c r="DF66" s="1097"/>
      <c r="DG66" s="1097"/>
      <c r="DH66" s="1097"/>
      <c r="DI66" s="1097"/>
      <c r="DJ66" s="1097"/>
      <c r="DK66" s="1097"/>
      <c r="DL66" s="1097"/>
      <c r="DM66" s="1097"/>
      <c r="DN66" s="1097"/>
      <c r="DO66" s="1097"/>
      <c r="DP66" s="1097"/>
      <c r="DQ66" s="1097"/>
      <c r="DR66" s="1097"/>
      <c r="DS66" s="1097"/>
      <c r="DT66" s="1097"/>
      <c r="DU66" s="1097"/>
      <c r="DV66" s="1097"/>
      <c r="DW66" s="1097"/>
      <c r="DX66" s="1097"/>
      <c r="DY66" s="1097"/>
      <c r="DZ66" s="1097"/>
      <c r="EA66" s="1097"/>
      <c r="EB66" s="1097"/>
      <c r="EC66" s="1097"/>
      <c r="ED66" s="1097"/>
      <c r="EE66" s="1097"/>
      <c r="EF66" s="1097"/>
      <c r="EG66" s="1097"/>
      <c r="EH66" s="1097"/>
      <c r="EI66" s="1097"/>
      <c r="EJ66" s="1097"/>
      <c r="EK66" s="1097"/>
      <c r="EL66" s="1097"/>
      <c r="EM66" s="1097"/>
      <c r="EN66" s="1097"/>
      <c r="EO66" s="1097"/>
      <c r="EP66" s="1097"/>
      <c r="EQ66" s="1097"/>
      <c r="ER66" s="1097"/>
      <c r="ES66" s="1097"/>
      <c r="ET66" s="1097"/>
      <c r="EU66" s="1097"/>
      <c r="EV66" s="1097"/>
      <c r="EW66" s="1097"/>
      <c r="EX66" s="1097"/>
      <c r="EY66" s="1097"/>
      <c r="EZ66" s="1097"/>
      <c r="FA66" s="1097"/>
      <c r="FB66" s="1097"/>
      <c r="FC66" s="1097"/>
      <c r="FD66" s="1097"/>
      <c r="FE66" s="1097"/>
      <c r="FF66" s="1097"/>
      <c r="FG66" s="1097"/>
      <c r="FH66" s="1097"/>
      <c r="FI66" s="1097"/>
      <c r="FJ66" s="1097"/>
      <c r="FK66" s="1097"/>
      <c r="FL66" s="1097"/>
      <c r="FM66" s="1097"/>
      <c r="FN66" s="1097"/>
      <c r="FO66" s="1097"/>
      <c r="FP66" s="1097"/>
      <c r="FQ66" s="1097"/>
      <c r="FR66" s="1097"/>
      <c r="FS66" s="1097"/>
      <c r="FT66" s="1097"/>
      <c r="FU66" s="1097"/>
      <c r="FV66" s="1097"/>
      <c r="FW66" s="1097"/>
      <c r="FX66" s="1097"/>
      <c r="FY66" s="1097"/>
      <c r="FZ66" s="1097"/>
      <c r="GA66" s="1097"/>
      <c r="GB66" s="1097"/>
      <c r="GC66" s="1097"/>
      <c r="GD66" s="1097"/>
      <c r="GE66" s="1097"/>
      <c r="GF66" s="1097"/>
      <c r="GG66" s="1097"/>
      <c r="GH66" s="1097"/>
      <c r="GI66" s="1097"/>
      <c r="GJ66" s="1097"/>
      <c r="GK66" s="1097"/>
      <c r="GL66" s="1097"/>
      <c r="GM66" s="1097"/>
      <c r="GN66" s="1097"/>
      <c r="GO66" s="1097"/>
      <c r="GP66" s="1097"/>
      <c r="GQ66" s="1097"/>
      <c r="GR66" s="1097"/>
      <c r="GS66" s="1097"/>
      <c r="GT66" s="1097"/>
      <c r="GU66" s="1097"/>
      <c r="GV66" s="1097"/>
      <c r="GW66" s="1097"/>
      <c r="GX66" s="1097"/>
      <c r="GY66" s="1097"/>
      <c r="GZ66" s="1097"/>
      <c r="HA66" s="1097"/>
      <c r="HB66" s="1097"/>
      <c r="HC66" s="1097"/>
      <c r="HD66" s="1097"/>
      <c r="HE66" s="1097"/>
      <c r="HF66" s="1097"/>
      <c r="HG66" s="1097"/>
      <c r="HH66" s="1097"/>
      <c r="HI66" s="1097"/>
      <c r="HJ66" s="1097"/>
      <c r="HK66" s="1097"/>
      <c r="HL66" s="1097"/>
      <c r="HM66" s="1097"/>
      <c r="HN66" s="1097"/>
      <c r="HO66" s="1097"/>
      <c r="HP66" s="1097"/>
      <c r="HQ66" s="1097"/>
      <c r="HR66" s="1097"/>
      <c r="HS66" s="1097"/>
      <c r="HT66" s="1097"/>
      <c r="HU66" s="1097"/>
      <c r="HV66" s="1097"/>
      <c r="HW66" s="1097"/>
      <c r="HX66" s="1097"/>
      <c r="HY66" s="1097"/>
      <c r="HZ66" s="1097"/>
      <c r="IA66" s="1097"/>
      <c r="IB66" s="1097"/>
      <c r="IC66" s="1097"/>
      <c r="ID66" s="1097"/>
      <c r="IE66" s="1097"/>
      <c r="IF66" s="1097"/>
      <c r="IG66" s="1097"/>
      <c r="IH66" s="1097"/>
      <c r="II66" s="1097"/>
      <c r="IJ66" s="1097"/>
      <c r="IK66" s="1097"/>
      <c r="IL66" s="1097"/>
      <c r="IM66" s="1097"/>
      <c r="IN66" s="1097"/>
      <c r="IO66" s="1097"/>
      <c r="IP66" s="1097"/>
      <c r="IQ66" s="1097"/>
      <c r="IR66" s="1097"/>
      <c r="IS66" s="1097"/>
      <c r="IT66" s="1097"/>
      <c r="IU66" s="1097"/>
      <c r="IV66" s="1097"/>
    </row>
    <row r="67" spans="1:256" customFormat="1"/>
    <row r="68" spans="1:256" s="1098" customFormat="1" ht="12.75" customHeight="1">
      <c r="A68" s="2239" t="s">
        <v>108</v>
      </c>
      <c r="B68" s="2239"/>
      <c r="C68" s="2239"/>
      <c r="D68" s="2239"/>
      <c r="E68" s="2239"/>
      <c r="F68" s="2239"/>
      <c r="G68" s="2239"/>
      <c r="H68" s="2239"/>
      <c r="I68" s="1097"/>
      <c r="J68" s="1097"/>
      <c r="K68" s="1097"/>
      <c r="L68" s="1097"/>
      <c r="M68" s="1097"/>
      <c r="N68" s="1097"/>
      <c r="O68" s="1097"/>
      <c r="P68" s="1097"/>
      <c r="Q68" s="1097"/>
      <c r="R68" s="1097"/>
      <c r="S68" s="1097"/>
      <c r="T68" s="1097"/>
      <c r="U68" s="1097"/>
      <c r="V68" s="1097"/>
      <c r="W68" s="1097"/>
      <c r="X68" s="1097"/>
      <c r="Y68" s="1097"/>
      <c r="Z68" s="1097"/>
      <c r="AA68" s="1097"/>
      <c r="AB68" s="1097"/>
      <c r="AC68" s="1097"/>
      <c r="AD68" s="1097"/>
      <c r="AE68" s="1097"/>
      <c r="AF68" s="1097"/>
      <c r="AG68" s="1097"/>
      <c r="AH68" s="1097"/>
      <c r="AI68" s="1097"/>
      <c r="AJ68" s="1097"/>
      <c r="AK68" s="1097"/>
      <c r="AL68" s="1097"/>
      <c r="AM68" s="1097"/>
      <c r="AN68" s="1097"/>
      <c r="AO68" s="1097"/>
      <c r="AP68" s="1097"/>
      <c r="AQ68" s="1097"/>
      <c r="AR68" s="1097"/>
      <c r="AS68" s="1097"/>
      <c r="AT68" s="1097"/>
      <c r="AU68" s="1097"/>
      <c r="AV68" s="1097"/>
      <c r="AW68" s="1097"/>
      <c r="AX68" s="1097"/>
      <c r="AY68" s="1097"/>
      <c r="AZ68" s="1097"/>
      <c r="BA68" s="1097"/>
      <c r="BB68" s="1097"/>
      <c r="BC68" s="1097"/>
      <c r="BD68" s="1097"/>
      <c r="BE68" s="1097"/>
      <c r="BF68" s="1097"/>
      <c r="BG68" s="1097"/>
      <c r="BH68" s="1097"/>
      <c r="BI68" s="1097"/>
      <c r="BJ68" s="1097"/>
      <c r="BK68" s="1097"/>
      <c r="BL68" s="1097"/>
      <c r="BM68" s="1097"/>
      <c r="BN68" s="1097"/>
      <c r="BO68" s="1097"/>
      <c r="BP68" s="1097"/>
      <c r="BQ68" s="1097"/>
      <c r="BR68" s="1097"/>
      <c r="BS68" s="1097"/>
      <c r="BT68" s="1097"/>
      <c r="BU68" s="1097"/>
      <c r="BV68" s="1097"/>
      <c r="BW68" s="1097"/>
      <c r="BX68" s="1097"/>
      <c r="BY68" s="1097"/>
      <c r="BZ68" s="1097"/>
      <c r="CA68" s="1097"/>
      <c r="CB68" s="1097"/>
      <c r="CC68" s="1097"/>
      <c r="CD68" s="1097"/>
      <c r="CE68" s="1097"/>
      <c r="CF68" s="1097"/>
      <c r="CG68" s="1097"/>
      <c r="CH68" s="1097"/>
      <c r="CI68" s="1097"/>
      <c r="CJ68" s="1097"/>
      <c r="CK68" s="1097"/>
      <c r="CL68" s="1097"/>
      <c r="CM68" s="1097"/>
      <c r="CN68" s="1097"/>
      <c r="CO68" s="1097"/>
      <c r="CP68" s="1097"/>
      <c r="CQ68" s="1097"/>
      <c r="CR68" s="1097"/>
      <c r="CS68" s="1097"/>
      <c r="CT68" s="1097"/>
      <c r="CU68" s="1097"/>
      <c r="CV68" s="1097"/>
      <c r="CW68" s="1097"/>
      <c r="CX68" s="1097"/>
      <c r="CY68" s="1097"/>
      <c r="CZ68" s="1097"/>
      <c r="DA68" s="1097"/>
      <c r="DB68" s="1097"/>
      <c r="DC68" s="1097"/>
      <c r="DD68" s="1097"/>
      <c r="DE68" s="1097"/>
      <c r="DF68" s="1097"/>
      <c r="DG68" s="1097"/>
      <c r="DH68" s="1097"/>
      <c r="DI68" s="1097"/>
      <c r="DJ68" s="1097"/>
      <c r="DK68" s="1097"/>
      <c r="DL68" s="1097"/>
      <c r="DM68" s="1097"/>
      <c r="DN68" s="1097"/>
      <c r="DO68" s="1097"/>
      <c r="DP68" s="1097"/>
      <c r="DQ68" s="1097"/>
      <c r="DR68" s="1097"/>
      <c r="DS68" s="1097"/>
      <c r="DT68" s="1097"/>
      <c r="DU68" s="1097"/>
      <c r="DV68" s="1097"/>
      <c r="DW68" s="1097"/>
      <c r="DX68" s="1097"/>
      <c r="DY68" s="1097"/>
      <c r="DZ68" s="1097"/>
      <c r="EA68" s="1097"/>
      <c r="EB68" s="1097"/>
      <c r="EC68" s="1097"/>
      <c r="ED68" s="1097"/>
      <c r="EE68" s="1097"/>
      <c r="EF68" s="1097"/>
      <c r="EG68" s="1097"/>
      <c r="EH68" s="1097"/>
      <c r="EI68" s="1097"/>
      <c r="EJ68" s="1097"/>
      <c r="EK68" s="1097"/>
      <c r="EL68" s="1097"/>
      <c r="EM68" s="1097"/>
      <c r="EN68" s="1097"/>
      <c r="EO68" s="1097"/>
      <c r="EP68" s="1097"/>
      <c r="EQ68" s="1097"/>
      <c r="ER68" s="1097"/>
      <c r="ES68" s="1097"/>
      <c r="ET68" s="1097"/>
      <c r="EU68" s="1097"/>
      <c r="EV68" s="1097"/>
      <c r="EW68" s="1097"/>
      <c r="EX68" s="1097"/>
      <c r="EY68" s="1097"/>
      <c r="EZ68" s="1097"/>
      <c r="FA68" s="1097"/>
      <c r="FB68" s="1097"/>
      <c r="FC68" s="1097"/>
      <c r="FD68" s="1097"/>
      <c r="FE68" s="1097"/>
      <c r="FF68" s="1097"/>
      <c r="FG68" s="1097"/>
      <c r="FH68" s="1097"/>
      <c r="FI68" s="1097"/>
      <c r="FJ68" s="1097"/>
      <c r="FK68" s="1097"/>
      <c r="FL68" s="1097"/>
      <c r="FM68" s="1097"/>
      <c r="FN68" s="1097"/>
      <c r="FO68" s="1097"/>
      <c r="FP68" s="1097"/>
      <c r="FQ68" s="1097"/>
      <c r="FR68" s="1097"/>
      <c r="FS68" s="1097"/>
      <c r="FT68" s="1097"/>
      <c r="FU68" s="1097"/>
      <c r="FV68" s="1097"/>
      <c r="FW68" s="1097"/>
      <c r="FX68" s="1097"/>
      <c r="FY68" s="1097"/>
      <c r="FZ68" s="1097"/>
      <c r="GA68" s="1097"/>
      <c r="GB68" s="1097"/>
      <c r="GC68" s="1097"/>
      <c r="GD68" s="1097"/>
      <c r="GE68" s="1097"/>
      <c r="GF68" s="1097"/>
      <c r="GG68" s="1097"/>
      <c r="GH68" s="1097"/>
      <c r="GI68" s="1097"/>
      <c r="GJ68" s="1097"/>
      <c r="GK68" s="1097"/>
      <c r="GL68" s="1097"/>
      <c r="GM68" s="1097"/>
      <c r="GN68" s="1097"/>
      <c r="GO68" s="1097"/>
      <c r="GP68" s="1097"/>
      <c r="GQ68" s="1097"/>
      <c r="GR68" s="1097"/>
      <c r="GS68" s="1097"/>
      <c r="GT68" s="1097"/>
      <c r="GU68" s="1097"/>
      <c r="GV68" s="1097"/>
      <c r="GW68" s="1097"/>
      <c r="GX68" s="1097"/>
      <c r="GY68" s="1097"/>
      <c r="GZ68" s="1097"/>
      <c r="HA68" s="1097"/>
      <c r="HB68" s="1097"/>
      <c r="HC68" s="1097"/>
      <c r="HD68" s="1097"/>
      <c r="HE68" s="1097"/>
      <c r="HF68" s="1097"/>
      <c r="HG68" s="1097"/>
      <c r="HH68" s="1097"/>
      <c r="HI68" s="1097"/>
      <c r="HJ68" s="1097"/>
      <c r="HK68" s="1097"/>
      <c r="HL68" s="1097"/>
      <c r="HM68" s="1097"/>
      <c r="HN68" s="1097"/>
      <c r="HO68" s="1097"/>
      <c r="HP68" s="1097"/>
      <c r="HQ68" s="1097"/>
      <c r="HR68" s="1097"/>
      <c r="HS68" s="1097"/>
      <c r="HT68" s="1097"/>
      <c r="HU68" s="1097"/>
      <c r="HV68" s="1097"/>
      <c r="HW68" s="1097"/>
      <c r="HX68" s="1097"/>
      <c r="HY68" s="1097"/>
      <c r="HZ68" s="1097"/>
      <c r="IA68" s="1097"/>
      <c r="IB68" s="1097"/>
      <c r="IC68" s="1097"/>
      <c r="ID68" s="1097"/>
      <c r="IE68" s="1097"/>
      <c r="IF68" s="1097"/>
      <c r="IG68" s="1097"/>
      <c r="IH68" s="1097"/>
      <c r="II68" s="1097"/>
      <c r="IJ68" s="1097"/>
      <c r="IK68" s="1097"/>
      <c r="IL68" s="1097"/>
      <c r="IM68" s="1097"/>
      <c r="IN68" s="1097"/>
      <c r="IO68" s="1097"/>
      <c r="IP68" s="1097"/>
      <c r="IQ68" s="1097"/>
      <c r="IR68" s="1097"/>
      <c r="IS68" s="1097"/>
      <c r="IT68" s="1097"/>
      <c r="IU68" s="1097"/>
      <c r="IV68" s="1097"/>
    </row>
    <row r="69" spans="1:256" customFormat="1"/>
    <row r="70" spans="1:256" s="1098" customFormat="1" ht="12.75" customHeight="1">
      <c r="A70" s="2239" t="s">
        <v>109</v>
      </c>
      <c r="B70" s="2239"/>
      <c r="C70" s="2239"/>
      <c r="D70" s="2239"/>
      <c r="E70" s="2239"/>
      <c r="F70" s="2239"/>
      <c r="G70" s="2239"/>
      <c r="H70" s="2239"/>
      <c r="I70" s="1097"/>
      <c r="J70" s="1097"/>
      <c r="K70" s="1097"/>
      <c r="L70" s="1097"/>
      <c r="M70" s="1097"/>
      <c r="N70" s="1097"/>
      <c r="O70" s="1097"/>
      <c r="P70" s="1097"/>
      <c r="Q70" s="1097"/>
      <c r="R70" s="1097"/>
      <c r="S70" s="1097"/>
      <c r="T70" s="1097"/>
      <c r="U70" s="1097"/>
      <c r="V70" s="1097"/>
      <c r="W70" s="1097"/>
      <c r="X70" s="1097"/>
      <c r="Y70" s="1097"/>
      <c r="Z70" s="1097"/>
      <c r="AA70" s="1097"/>
      <c r="AB70" s="1097"/>
      <c r="AC70" s="1097"/>
      <c r="AD70" s="1097"/>
      <c r="AE70" s="1097"/>
      <c r="AF70" s="1097"/>
      <c r="AG70" s="1097"/>
      <c r="AH70" s="1097"/>
      <c r="AI70" s="1097"/>
      <c r="AJ70" s="1097"/>
      <c r="AK70" s="1097"/>
      <c r="AL70" s="1097"/>
      <c r="AM70" s="1097"/>
      <c r="AN70" s="1097"/>
      <c r="AO70" s="1097"/>
      <c r="AP70" s="1097"/>
      <c r="AQ70" s="1097"/>
      <c r="AR70" s="1097"/>
      <c r="AS70" s="1097"/>
      <c r="AT70" s="1097"/>
      <c r="AU70" s="1097"/>
      <c r="AV70" s="1097"/>
      <c r="AW70" s="1097"/>
      <c r="AX70" s="1097"/>
      <c r="AY70" s="1097"/>
      <c r="AZ70" s="1097"/>
      <c r="BA70" s="1097"/>
      <c r="BB70" s="1097"/>
      <c r="BC70" s="1097"/>
      <c r="BD70" s="1097"/>
      <c r="BE70" s="1097"/>
      <c r="BF70" s="1097"/>
      <c r="BG70" s="1097"/>
      <c r="BH70" s="1097"/>
      <c r="BI70" s="1097"/>
      <c r="BJ70" s="1097"/>
      <c r="BK70" s="1097"/>
      <c r="BL70" s="1097"/>
      <c r="BM70" s="1097"/>
      <c r="BN70" s="1097"/>
      <c r="BO70" s="1097"/>
      <c r="BP70" s="1097"/>
      <c r="BQ70" s="1097"/>
      <c r="BR70" s="1097"/>
      <c r="BS70" s="1097"/>
      <c r="BT70" s="1097"/>
      <c r="BU70" s="1097"/>
      <c r="BV70" s="1097"/>
      <c r="BW70" s="1097"/>
      <c r="BX70" s="1097"/>
      <c r="BY70" s="1097"/>
      <c r="BZ70" s="1097"/>
      <c r="CA70" s="1097"/>
      <c r="CB70" s="1097"/>
      <c r="CC70" s="1097"/>
      <c r="CD70" s="1097"/>
      <c r="CE70" s="1097"/>
      <c r="CF70" s="1097"/>
      <c r="CG70" s="1097"/>
      <c r="CH70" s="1097"/>
      <c r="CI70" s="1097"/>
      <c r="CJ70" s="1097"/>
      <c r="CK70" s="1097"/>
      <c r="CL70" s="1097"/>
      <c r="CM70" s="1097"/>
      <c r="CN70" s="1097"/>
      <c r="CO70" s="1097"/>
      <c r="CP70" s="1097"/>
      <c r="CQ70" s="1097"/>
      <c r="CR70" s="1097"/>
      <c r="CS70" s="1097"/>
      <c r="CT70" s="1097"/>
      <c r="CU70" s="1097"/>
      <c r="CV70" s="1097"/>
      <c r="CW70" s="1097"/>
      <c r="CX70" s="1097"/>
      <c r="CY70" s="1097"/>
      <c r="CZ70" s="1097"/>
      <c r="DA70" s="1097"/>
      <c r="DB70" s="1097"/>
      <c r="DC70" s="1097"/>
      <c r="DD70" s="1097"/>
      <c r="DE70" s="1097"/>
      <c r="DF70" s="1097"/>
      <c r="DG70" s="1097"/>
      <c r="DH70" s="1097"/>
      <c r="DI70" s="1097"/>
      <c r="DJ70" s="1097"/>
      <c r="DK70" s="1097"/>
      <c r="DL70" s="1097"/>
      <c r="DM70" s="1097"/>
      <c r="DN70" s="1097"/>
      <c r="DO70" s="1097"/>
      <c r="DP70" s="1097"/>
      <c r="DQ70" s="1097"/>
      <c r="DR70" s="1097"/>
      <c r="DS70" s="1097"/>
      <c r="DT70" s="1097"/>
      <c r="DU70" s="1097"/>
      <c r="DV70" s="1097"/>
      <c r="DW70" s="1097"/>
      <c r="DX70" s="1097"/>
      <c r="DY70" s="1097"/>
      <c r="DZ70" s="1097"/>
      <c r="EA70" s="1097"/>
      <c r="EB70" s="1097"/>
      <c r="EC70" s="1097"/>
      <c r="ED70" s="1097"/>
      <c r="EE70" s="1097"/>
      <c r="EF70" s="1097"/>
      <c r="EG70" s="1097"/>
      <c r="EH70" s="1097"/>
      <c r="EI70" s="1097"/>
      <c r="EJ70" s="1097"/>
      <c r="EK70" s="1097"/>
      <c r="EL70" s="1097"/>
      <c r="EM70" s="1097"/>
      <c r="EN70" s="1097"/>
      <c r="EO70" s="1097"/>
      <c r="EP70" s="1097"/>
      <c r="EQ70" s="1097"/>
      <c r="ER70" s="1097"/>
      <c r="ES70" s="1097"/>
      <c r="ET70" s="1097"/>
      <c r="EU70" s="1097"/>
      <c r="EV70" s="1097"/>
      <c r="EW70" s="1097"/>
      <c r="EX70" s="1097"/>
      <c r="EY70" s="1097"/>
      <c r="EZ70" s="1097"/>
      <c r="FA70" s="1097"/>
      <c r="FB70" s="1097"/>
      <c r="FC70" s="1097"/>
      <c r="FD70" s="1097"/>
      <c r="FE70" s="1097"/>
      <c r="FF70" s="1097"/>
      <c r="FG70" s="1097"/>
      <c r="FH70" s="1097"/>
      <c r="FI70" s="1097"/>
      <c r="FJ70" s="1097"/>
      <c r="FK70" s="1097"/>
      <c r="FL70" s="1097"/>
      <c r="FM70" s="1097"/>
      <c r="FN70" s="1097"/>
      <c r="FO70" s="1097"/>
      <c r="FP70" s="1097"/>
      <c r="FQ70" s="1097"/>
      <c r="FR70" s="1097"/>
      <c r="FS70" s="1097"/>
      <c r="FT70" s="1097"/>
      <c r="FU70" s="1097"/>
      <c r="FV70" s="1097"/>
      <c r="FW70" s="1097"/>
      <c r="FX70" s="1097"/>
      <c r="FY70" s="1097"/>
      <c r="FZ70" s="1097"/>
      <c r="GA70" s="1097"/>
      <c r="GB70" s="1097"/>
      <c r="GC70" s="1097"/>
      <c r="GD70" s="1097"/>
      <c r="GE70" s="1097"/>
      <c r="GF70" s="1097"/>
      <c r="GG70" s="1097"/>
      <c r="GH70" s="1097"/>
      <c r="GI70" s="1097"/>
      <c r="GJ70" s="1097"/>
      <c r="GK70" s="1097"/>
      <c r="GL70" s="1097"/>
      <c r="GM70" s="1097"/>
      <c r="GN70" s="1097"/>
      <c r="GO70" s="1097"/>
      <c r="GP70" s="1097"/>
      <c r="GQ70" s="1097"/>
      <c r="GR70" s="1097"/>
      <c r="GS70" s="1097"/>
      <c r="GT70" s="1097"/>
      <c r="GU70" s="1097"/>
      <c r="GV70" s="1097"/>
      <c r="GW70" s="1097"/>
      <c r="GX70" s="1097"/>
      <c r="GY70" s="1097"/>
      <c r="GZ70" s="1097"/>
      <c r="HA70" s="1097"/>
      <c r="HB70" s="1097"/>
      <c r="HC70" s="1097"/>
      <c r="HD70" s="1097"/>
      <c r="HE70" s="1097"/>
      <c r="HF70" s="1097"/>
      <c r="HG70" s="1097"/>
      <c r="HH70" s="1097"/>
      <c r="HI70" s="1097"/>
      <c r="HJ70" s="1097"/>
      <c r="HK70" s="1097"/>
      <c r="HL70" s="1097"/>
      <c r="HM70" s="1097"/>
      <c r="HN70" s="1097"/>
      <c r="HO70" s="1097"/>
      <c r="HP70" s="1097"/>
      <c r="HQ70" s="1097"/>
      <c r="HR70" s="1097"/>
      <c r="HS70" s="1097"/>
      <c r="HT70" s="1097"/>
      <c r="HU70" s="1097"/>
      <c r="HV70" s="1097"/>
      <c r="HW70" s="1097"/>
      <c r="HX70" s="1097"/>
      <c r="HY70" s="1097"/>
      <c r="HZ70" s="1097"/>
      <c r="IA70" s="1097"/>
      <c r="IB70" s="1097"/>
      <c r="IC70" s="1097"/>
      <c r="ID70" s="1097"/>
      <c r="IE70" s="1097"/>
      <c r="IF70" s="1097"/>
      <c r="IG70" s="1097"/>
      <c r="IH70" s="1097"/>
      <c r="II70" s="1097"/>
      <c r="IJ70" s="1097"/>
      <c r="IK70" s="1097"/>
      <c r="IL70" s="1097"/>
      <c r="IM70" s="1097"/>
      <c r="IN70" s="1097"/>
      <c r="IO70" s="1097"/>
      <c r="IP70" s="1097"/>
      <c r="IQ70" s="1097"/>
      <c r="IR70" s="1097"/>
      <c r="IS70" s="1097"/>
      <c r="IT70" s="1097"/>
      <c r="IU70" s="1097"/>
      <c r="IV70" s="1097"/>
    </row>
    <row r="71" spans="1:256" customFormat="1"/>
    <row r="72" spans="1:256" customFormat="1"/>
    <row r="73" spans="1:256" customFormat="1"/>
    <row r="74" spans="1:256" customFormat="1"/>
    <row r="75" spans="1:256" customFormat="1"/>
    <row r="76" spans="1:256" customFormat="1"/>
    <row r="77" spans="1:256" customFormat="1"/>
    <row r="78" spans="1:256" customFormat="1"/>
    <row r="79" spans="1:256" customFormat="1"/>
  </sheetData>
  <sheetProtection algorithmName="SHA-512" hashValue="shFIF2G3TSgDgyz3cIycdBwDUu+sGD+wUFiAq5rlGECT7q4pdG4JDWF3/6RPtdX1pFmBHoTNFcxy52IP1NJJhw==" saltValue="8d+DXfmBVYugvaCQXd2Z9w==" spinCount="100000" sheet="1" objects="1" scenarios="1"/>
  <mergeCells count="35">
    <mergeCell ref="A45:H45"/>
    <mergeCell ref="A68:H68"/>
    <mergeCell ref="A42:H42"/>
    <mergeCell ref="A66:H66"/>
    <mergeCell ref="A33:H33"/>
    <mergeCell ref="A35:H35"/>
    <mergeCell ref="A34:H34"/>
    <mergeCell ref="A38:H38"/>
    <mergeCell ref="A40:H40"/>
    <mergeCell ref="A70:H70"/>
    <mergeCell ref="A47:H47"/>
    <mergeCell ref="A50:H50"/>
    <mergeCell ref="A52:H52"/>
    <mergeCell ref="A54:H54"/>
    <mergeCell ref="A57:H57"/>
    <mergeCell ref="A61:H61"/>
    <mergeCell ref="A63:H63"/>
    <mergeCell ref="A59:H59"/>
    <mergeCell ref="E1:F1"/>
    <mergeCell ref="A3:H3"/>
    <mergeCell ref="A6:H6"/>
    <mergeCell ref="A7:H7"/>
    <mergeCell ref="A10:H10"/>
    <mergeCell ref="A12:H12"/>
    <mergeCell ref="A13:H13"/>
    <mergeCell ref="A21:H21"/>
    <mergeCell ref="A24:H24"/>
    <mergeCell ref="A26:H26"/>
    <mergeCell ref="A15:H15"/>
    <mergeCell ref="A14:H14"/>
    <mergeCell ref="A28:H28"/>
    <mergeCell ref="A31:H31"/>
    <mergeCell ref="A17:H17"/>
    <mergeCell ref="A18:H18"/>
    <mergeCell ref="A19:H19"/>
  </mergeCells>
  <hyperlinks>
    <hyperlink ref="E1" location="Sommaire!A1" display="Retour Sommaire"/>
  </hyperlinks>
  <printOptions horizontalCentered="1"/>
  <pageMargins left="0.59055118110236227" right="0.59055118110236227" top="0.59055118110236227" bottom="0.59055118110236227" header="0.51181102362204722" footer="0.27559055118110237"/>
  <pageSetup paperSize="9" scale="80" firstPageNumber="0" orientation="portrait" r:id="rId1"/>
  <headerFooter alignWithMargins="0">
    <oddFooter>&amp;LRSU 2020 - Présentation au CTP&amp;R&amp;P/&amp;N
&amp;A</oddFooter>
  </headerFooter>
</worksheet>
</file>

<file path=xl/worksheets/sheet42.xml><?xml version="1.0" encoding="utf-8"?>
<worksheet xmlns="http://schemas.openxmlformats.org/spreadsheetml/2006/main" xmlns:r="http://schemas.openxmlformats.org/officeDocument/2006/relationships">
  <sheetPr codeName="Feuil34">
    <pageSetUpPr fitToPage="1"/>
  </sheetPr>
  <dimension ref="A1:D36"/>
  <sheetViews>
    <sheetView showGridLines="0" topLeftCell="A11" zoomScaleNormal="90" workbookViewId="0"/>
  </sheetViews>
  <sheetFormatPr baseColWidth="10" defaultRowHeight="12.75" customHeight="1"/>
  <cols>
    <col min="1" max="1" width="103.42578125" customWidth="1"/>
    <col min="2" max="2" width="10.85546875" customWidth="1"/>
    <col min="3" max="3" width="11.7109375" customWidth="1"/>
    <col min="4" max="4" width="13.7109375" customWidth="1"/>
  </cols>
  <sheetData>
    <row r="1" spans="1:4" ht="17.100000000000001" customHeight="1">
      <c r="B1" s="2245" t="s">
        <v>958</v>
      </c>
      <c r="C1" s="2245"/>
    </row>
    <row r="3" spans="1:4" ht="13.5" thickBot="1"/>
    <row r="4" spans="1:4" ht="13.5" thickBot="1">
      <c r="A4" s="2541" t="s">
        <v>2514</v>
      </c>
      <c r="B4" s="2249"/>
      <c r="C4" s="2249"/>
    </row>
    <row r="6" spans="1:4" ht="13.5" thickBot="1"/>
    <row r="7" spans="1:4" ht="13.5" thickBot="1">
      <c r="A7" s="2337" t="s">
        <v>2515</v>
      </c>
      <c r="B7" s="2540"/>
      <c r="C7" s="2540"/>
    </row>
    <row r="9" spans="1:4">
      <c r="A9" s="353" t="s">
        <v>2516</v>
      </c>
      <c r="B9" s="290"/>
      <c r="C9" s="152"/>
    </row>
    <row r="10" spans="1:4">
      <c r="B10" s="1222">
        <v>1</v>
      </c>
      <c r="C10" s="1222">
        <v>2</v>
      </c>
      <c r="D10" s="1212" t="s">
        <v>260</v>
      </c>
    </row>
    <row r="11" spans="1:4" ht="15">
      <c r="B11" s="803" t="s">
        <v>707</v>
      </c>
      <c r="C11" s="804" t="s">
        <v>708</v>
      </c>
      <c r="D11" s="541"/>
    </row>
    <row r="12" spans="1:4" ht="15" customHeight="1">
      <c r="A12" s="184" t="s">
        <v>1358</v>
      </c>
      <c r="B12" s="613">
        <v>81</v>
      </c>
      <c r="C12" s="614">
        <v>153</v>
      </c>
      <c r="D12" s="1213">
        <v>10</v>
      </c>
    </row>
    <row r="13" spans="1:4" ht="15" customHeight="1">
      <c r="A13" s="356" t="s">
        <v>1359</v>
      </c>
      <c r="B13" s="615">
        <v>1</v>
      </c>
      <c r="C13" s="616">
        <v>0</v>
      </c>
      <c r="D13" s="1213">
        <v>20</v>
      </c>
    </row>
    <row r="14" spans="1:4" ht="15" customHeight="1">
      <c r="A14" s="184" t="s">
        <v>922</v>
      </c>
      <c r="B14" s="589">
        <v>0</v>
      </c>
      <c r="C14" s="616">
        <v>0</v>
      </c>
      <c r="D14" s="1213">
        <v>30</v>
      </c>
    </row>
    <row r="15" spans="1:4">
      <c r="A15" s="160" t="s">
        <v>1360</v>
      </c>
      <c r="B15" s="613">
        <v>0</v>
      </c>
      <c r="C15" s="614">
        <v>0</v>
      </c>
      <c r="D15" s="1213">
        <v>40</v>
      </c>
    </row>
    <row r="16" spans="1:4" ht="15" customHeight="1">
      <c r="A16" s="821" t="s">
        <v>2517</v>
      </c>
      <c r="B16" s="613">
        <v>1</v>
      </c>
      <c r="C16" s="614">
        <v>16</v>
      </c>
      <c r="D16" s="1213">
        <v>50</v>
      </c>
    </row>
    <row r="17" spans="1:4">
      <c r="A17" s="899" t="s">
        <v>2518</v>
      </c>
      <c r="B17" s="805">
        <v>33</v>
      </c>
      <c r="C17" s="806">
        <v>90</v>
      </c>
      <c r="D17" s="1213">
        <v>60</v>
      </c>
    </row>
    <row r="18" spans="1:4">
      <c r="A18" s="900" t="s">
        <v>2519</v>
      </c>
      <c r="B18" s="831">
        <v>0</v>
      </c>
      <c r="C18" s="832">
        <v>0</v>
      </c>
      <c r="D18" s="1213">
        <v>70</v>
      </c>
    </row>
    <row r="20" spans="1:4" ht="13.5" thickBot="1"/>
    <row r="21" spans="1:4" ht="13.5" thickBot="1">
      <c r="A21" s="2542" t="s">
        <v>2520</v>
      </c>
      <c r="B21" s="2543"/>
      <c r="C21" s="2543"/>
      <c r="D21" s="152"/>
    </row>
    <row r="22" spans="1:4" ht="12.75" customHeight="1">
      <c r="A22" s="1298"/>
      <c r="B22" s="1298"/>
      <c r="C22" s="1298"/>
    </row>
    <row r="23" spans="1:4">
      <c r="A23" s="1299" t="s">
        <v>2620</v>
      </c>
      <c r="B23" s="1298"/>
      <c r="C23" s="1298"/>
    </row>
    <row r="24" spans="1:4">
      <c r="A24" s="1298"/>
      <c r="B24" s="1300">
        <v>1</v>
      </c>
      <c r="C24" s="1300">
        <v>2</v>
      </c>
      <c r="D24" s="1212" t="s">
        <v>110</v>
      </c>
    </row>
    <row r="25" spans="1:4">
      <c r="A25" s="1301" t="s">
        <v>1386</v>
      </c>
      <c r="B25" s="1302" t="s">
        <v>707</v>
      </c>
      <c r="C25" s="1303" t="s">
        <v>708</v>
      </c>
      <c r="D25" s="1000"/>
    </row>
    <row r="26" spans="1:4" ht="15" customHeight="1">
      <c r="A26" s="1304" t="s">
        <v>1361</v>
      </c>
      <c r="B26" s="1305">
        <v>698</v>
      </c>
      <c r="C26" s="1306">
        <v>1526</v>
      </c>
      <c r="D26" s="1215">
        <v>1</v>
      </c>
    </row>
    <row r="27" spans="1:4" ht="15" customHeight="1">
      <c r="A27" s="1304" t="s">
        <v>1362</v>
      </c>
      <c r="B27" s="1305">
        <v>118</v>
      </c>
      <c r="C27" s="1306">
        <v>280</v>
      </c>
      <c r="D27" s="1215">
        <v>2</v>
      </c>
    </row>
    <row r="28" spans="1:4" ht="12.75" customHeight="1">
      <c r="A28" s="1298"/>
      <c r="B28" s="1298"/>
      <c r="C28" s="1298"/>
    </row>
    <row r="29" spans="1:4">
      <c r="A29" s="1301" t="s">
        <v>2615</v>
      </c>
      <c r="B29" s="1302" t="s">
        <v>707</v>
      </c>
      <c r="C29" s="1303" t="s">
        <v>708</v>
      </c>
      <c r="D29" s="335"/>
    </row>
    <row r="30" spans="1:4">
      <c r="A30" s="1307" t="s">
        <v>2618</v>
      </c>
      <c r="B30" s="1308">
        <v>19</v>
      </c>
      <c r="C30" s="1308">
        <v>18</v>
      </c>
      <c r="D30" s="1215">
        <v>3</v>
      </c>
    </row>
    <row r="31" spans="1:4">
      <c r="A31" s="1307" t="s">
        <v>2616</v>
      </c>
      <c r="B31" s="1308">
        <v>0</v>
      </c>
      <c r="C31" s="1308">
        <v>1</v>
      </c>
      <c r="D31" s="1211">
        <v>4</v>
      </c>
    </row>
    <row r="32" spans="1:4" ht="15" customHeight="1">
      <c r="A32" s="1307" t="s">
        <v>2617</v>
      </c>
      <c r="B32" s="1308">
        <v>6</v>
      </c>
      <c r="C32" s="1308">
        <v>3</v>
      </c>
      <c r="D32" s="1211">
        <v>5</v>
      </c>
    </row>
    <row r="33" spans="1:4">
      <c r="A33" s="1307" t="s">
        <v>2616</v>
      </c>
      <c r="B33" s="1308">
        <v>0</v>
      </c>
      <c r="C33" s="1308">
        <v>0</v>
      </c>
      <c r="D33" s="1223">
        <v>6</v>
      </c>
    </row>
    <row r="34" spans="1:4">
      <c r="A34" s="1307" t="s">
        <v>2619</v>
      </c>
      <c r="B34" s="1308">
        <v>3</v>
      </c>
      <c r="C34" s="1308">
        <v>13</v>
      </c>
      <c r="D34" s="1211">
        <v>7</v>
      </c>
    </row>
    <row r="35" spans="1:4">
      <c r="A35" s="1307" t="s">
        <v>2616</v>
      </c>
      <c r="B35" s="1308">
        <v>0</v>
      </c>
      <c r="C35" s="1308">
        <v>0</v>
      </c>
      <c r="D35" s="1211">
        <v>8</v>
      </c>
    </row>
    <row r="36" spans="1:4">
      <c r="A36" s="1309" t="s">
        <v>768</v>
      </c>
      <c r="B36" s="1310">
        <f>B30+B32+B34</f>
        <v>28</v>
      </c>
      <c r="C36" s="1310">
        <f>C30+C32+C34</f>
        <v>34</v>
      </c>
      <c r="D36" s="1223">
        <v>9</v>
      </c>
    </row>
  </sheetData>
  <sheetProtection algorithmName="SHA-512" hashValue="AVhfVjs3jiIGM73TP37mbAiIOrn65K52ubdHOarj0chCPVZKF1D8KhRBoPKfMy5ZbwhkGi8I/ewAEKoHK45LEQ==" saltValue="frN4nEBLJrCKPbLh8KBEgg==" spinCount="100000" sheet="1" objects="1" scenarios="1"/>
  <mergeCells count="4">
    <mergeCell ref="A7:C7"/>
    <mergeCell ref="B1:C1"/>
    <mergeCell ref="A4:C4"/>
    <mergeCell ref="A21:C21"/>
  </mergeCells>
  <dataValidations count="1">
    <dataValidation type="whole" allowBlank="1" showInputMessage="1" showErrorMessage="1" errorTitle="Erreur de saisie" error="Vous devez saisir une valeur entière" sqref="B12:C18 B32:C33 B30:C30 B26:C26 B35:C36">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78" orientation="portrait" r:id="rId1"/>
  <headerFooter alignWithMargins="0">
    <oddFooter>&amp;LRSU 2020 - Présentation au CTP&amp;R&amp;P/&amp;N
&amp;A</oddFooter>
  </headerFooter>
</worksheet>
</file>

<file path=xl/worksheets/sheet43.xml><?xml version="1.0" encoding="utf-8"?>
<worksheet xmlns="http://schemas.openxmlformats.org/spreadsheetml/2006/main" xmlns:r="http://schemas.openxmlformats.org/officeDocument/2006/relationships">
  <sheetPr codeName="Feuil35">
    <pageSetUpPr fitToPage="1"/>
  </sheetPr>
  <dimension ref="A1:H23"/>
  <sheetViews>
    <sheetView showGridLines="0" zoomScaleNormal="100" workbookViewId="0"/>
  </sheetViews>
  <sheetFormatPr baseColWidth="10" defaultColWidth="10.85546875" defaultRowHeight="12.75" customHeight="1"/>
  <cols>
    <col min="1" max="1" width="32.85546875" customWidth="1"/>
    <col min="2" max="8" width="13.42578125" customWidth="1"/>
    <col min="9" max="9" width="10.85546875" customWidth="1"/>
  </cols>
  <sheetData>
    <row r="1" spans="1:8" ht="17.100000000000001" customHeight="1">
      <c r="C1" s="2245" t="s">
        <v>958</v>
      </c>
      <c r="D1" s="2245"/>
    </row>
    <row r="2" spans="1:8" ht="14.25" customHeight="1" thickBot="1"/>
    <row r="3" spans="1:8" ht="13.5" customHeight="1" thickBot="1">
      <c r="A3" s="2551" t="s">
        <v>2521</v>
      </c>
      <c r="B3" s="2552"/>
      <c r="C3" s="2552"/>
      <c r="D3" s="2552"/>
      <c r="E3" s="2552"/>
      <c r="F3" s="2552"/>
      <c r="G3" s="2552"/>
    </row>
    <row r="4" spans="1:8" ht="29.25" customHeight="1"/>
    <row r="5" spans="1:8" ht="12" customHeight="1">
      <c r="A5" s="353" t="s">
        <v>2522</v>
      </c>
      <c r="B5" s="336"/>
      <c r="C5" s="336"/>
      <c r="D5" s="336"/>
      <c r="E5" s="336"/>
      <c r="F5" s="336"/>
      <c r="G5" s="336"/>
      <c r="H5" s="336"/>
    </row>
    <row r="7" spans="1:8" ht="12.75" customHeight="1">
      <c r="B7" s="1224">
        <v>1</v>
      </c>
      <c r="C7" s="1224">
        <v>1</v>
      </c>
      <c r="D7" s="1224">
        <v>2</v>
      </c>
      <c r="E7" s="1224">
        <v>2</v>
      </c>
      <c r="F7" s="1224">
        <v>3</v>
      </c>
      <c r="G7" s="1224">
        <v>3</v>
      </c>
      <c r="H7" s="1224" t="s">
        <v>1730</v>
      </c>
    </row>
    <row r="8" spans="1:8" ht="12.75" customHeight="1">
      <c r="A8" s="2547" t="s">
        <v>2414</v>
      </c>
      <c r="B8" s="2544" t="s">
        <v>1213</v>
      </c>
      <c r="C8" s="2545"/>
      <c r="D8" s="2545"/>
      <c r="E8" s="2545"/>
      <c r="F8" s="2545"/>
      <c r="G8" s="2546"/>
    </row>
    <row r="9" spans="1:8" ht="48" customHeight="1">
      <c r="A9" s="2257"/>
      <c r="B9" s="2548" t="s">
        <v>1214</v>
      </c>
      <c r="C9" s="2548"/>
      <c r="D9" s="2549" t="s">
        <v>1215</v>
      </c>
      <c r="E9" s="2549"/>
      <c r="F9" s="2550" t="s">
        <v>1216</v>
      </c>
      <c r="G9" s="2550"/>
    </row>
    <row r="10" spans="1:8" ht="33.75" customHeight="1">
      <c r="A10" s="366" t="s">
        <v>1167</v>
      </c>
      <c r="B10" s="213" t="s">
        <v>2162</v>
      </c>
      <c r="C10" s="213" t="s">
        <v>2163</v>
      </c>
      <c r="D10" s="213" t="s">
        <v>2164</v>
      </c>
      <c r="E10" s="213" t="s">
        <v>2165</v>
      </c>
      <c r="F10" s="213" t="s">
        <v>2166</v>
      </c>
      <c r="G10" s="213" t="s">
        <v>2167</v>
      </c>
    </row>
    <row r="11" spans="1:8" ht="12.75" customHeight="1">
      <c r="A11" s="367"/>
      <c r="B11" s="1225">
        <v>1</v>
      </c>
      <c r="C11" s="1225">
        <v>2</v>
      </c>
      <c r="D11" s="1225">
        <v>1</v>
      </c>
      <c r="E11" s="1225">
        <v>2</v>
      </c>
      <c r="F11" s="1225">
        <v>1</v>
      </c>
      <c r="G11" s="1226">
        <v>2</v>
      </c>
      <c r="H11" s="1224" t="s">
        <v>1217</v>
      </c>
    </row>
    <row r="12" spans="1:8" ht="12.75" customHeight="1">
      <c r="A12" s="368" t="s">
        <v>1915</v>
      </c>
      <c r="B12" s="691">
        <v>6</v>
      </c>
      <c r="C12" s="691">
        <v>4</v>
      </c>
      <c r="D12" s="691">
        <v>0</v>
      </c>
      <c r="E12" s="691">
        <v>0</v>
      </c>
      <c r="F12" s="691">
        <v>17</v>
      </c>
      <c r="G12" s="691">
        <v>77</v>
      </c>
      <c r="H12" s="1224" t="s">
        <v>1852</v>
      </c>
    </row>
    <row r="13" spans="1:8" ht="12.75" customHeight="1">
      <c r="A13" s="368" t="s">
        <v>673</v>
      </c>
      <c r="B13" s="691">
        <v>1</v>
      </c>
      <c r="C13" s="691">
        <v>1</v>
      </c>
      <c r="D13" s="691">
        <v>8</v>
      </c>
      <c r="E13" s="691">
        <v>0</v>
      </c>
      <c r="F13" s="691">
        <v>62</v>
      </c>
      <c r="G13" s="691">
        <v>107</v>
      </c>
      <c r="H13" s="1224" t="s">
        <v>1249</v>
      </c>
    </row>
    <row r="14" spans="1:8" ht="12.75" customHeight="1">
      <c r="A14" s="124" t="s">
        <v>1250</v>
      </c>
      <c r="B14" s="691">
        <v>4</v>
      </c>
      <c r="C14" s="691">
        <v>2</v>
      </c>
      <c r="D14" s="691">
        <v>1</v>
      </c>
      <c r="E14" s="691">
        <v>0</v>
      </c>
      <c r="F14" s="691">
        <v>2</v>
      </c>
      <c r="G14" s="691">
        <v>8</v>
      </c>
      <c r="H14" s="1224" t="s">
        <v>375</v>
      </c>
    </row>
    <row r="15" spans="1:8" ht="12.75" customHeight="1">
      <c r="A15" s="368" t="s">
        <v>376</v>
      </c>
      <c r="B15" s="691"/>
      <c r="C15" s="691"/>
      <c r="D15" s="691"/>
      <c r="E15" s="691"/>
      <c r="F15" s="691"/>
      <c r="G15" s="691"/>
      <c r="H15" s="1224" t="s">
        <v>1194</v>
      </c>
    </row>
    <row r="16" spans="1:8" ht="12.75" customHeight="1">
      <c r="A16" s="368" t="s">
        <v>1195</v>
      </c>
      <c r="B16" s="691">
        <v>1</v>
      </c>
      <c r="C16" s="691">
        <v>15</v>
      </c>
      <c r="D16" s="691">
        <v>0</v>
      </c>
      <c r="E16" s="691">
        <v>0</v>
      </c>
      <c r="F16" s="691">
        <v>0</v>
      </c>
      <c r="G16" s="691">
        <v>34</v>
      </c>
      <c r="H16" s="1224" t="s">
        <v>1573</v>
      </c>
    </row>
    <row r="17" spans="1:8" ht="12.75" customHeight="1">
      <c r="A17" s="369" t="s">
        <v>1574</v>
      </c>
      <c r="B17" s="691">
        <v>0</v>
      </c>
      <c r="C17" s="691">
        <v>3</v>
      </c>
      <c r="D17" s="691">
        <v>0</v>
      </c>
      <c r="E17" s="691">
        <v>0</v>
      </c>
      <c r="F17" s="691">
        <v>0</v>
      </c>
      <c r="G17" s="691">
        <v>17</v>
      </c>
      <c r="H17" s="1224" t="s">
        <v>2126</v>
      </c>
    </row>
    <row r="18" spans="1:8" ht="12.75" customHeight="1">
      <c r="A18" s="369" t="s">
        <v>2127</v>
      </c>
      <c r="B18" s="691"/>
      <c r="C18" s="691"/>
      <c r="D18" s="691"/>
      <c r="E18" s="691"/>
      <c r="F18" s="691"/>
      <c r="G18" s="691"/>
      <c r="H18" s="1224" t="s">
        <v>1649</v>
      </c>
    </row>
    <row r="19" spans="1:8" ht="12.75" customHeight="1">
      <c r="A19" s="369" t="s">
        <v>1650</v>
      </c>
      <c r="B19" s="691">
        <v>0</v>
      </c>
      <c r="C19" s="691">
        <v>0</v>
      </c>
      <c r="D19" s="691">
        <v>2</v>
      </c>
      <c r="E19" s="691">
        <v>0</v>
      </c>
      <c r="F19" s="691">
        <v>14</v>
      </c>
      <c r="G19" s="691">
        <v>10</v>
      </c>
      <c r="H19" s="1224" t="s">
        <v>316</v>
      </c>
    </row>
    <row r="20" spans="1:8" ht="12.75" customHeight="1">
      <c r="A20" s="117" t="s">
        <v>2192</v>
      </c>
      <c r="B20" s="691"/>
      <c r="C20" s="691"/>
      <c r="D20" s="691"/>
      <c r="E20" s="691"/>
      <c r="F20" s="691"/>
      <c r="G20" s="691"/>
      <c r="H20" s="1224" t="s">
        <v>1081</v>
      </c>
    </row>
    <row r="21" spans="1:8" ht="12.75" customHeight="1">
      <c r="A21" s="117" t="s">
        <v>1082</v>
      </c>
      <c r="B21" s="691">
        <v>0</v>
      </c>
      <c r="C21" s="691">
        <v>0</v>
      </c>
      <c r="D21" s="691">
        <v>0</v>
      </c>
      <c r="E21" s="691">
        <v>0</v>
      </c>
      <c r="F21" s="691">
        <v>0</v>
      </c>
      <c r="G21" s="691">
        <v>2</v>
      </c>
      <c r="H21" s="1224" t="s">
        <v>694</v>
      </c>
    </row>
    <row r="23" spans="1:8" ht="12.75" customHeight="1">
      <c r="A23" s="496" t="s">
        <v>696</v>
      </c>
      <c r="B23" s="480">
        <f t="shared" ref="B23:G23" si="0">SUM(B12:B21)</f>
        <v>12</v>
      </c>
      <c r="C23" s="480">
        <f t="shared" si="0"/>
        <v>25</v>
      </c>
      <c r="D23" s="480">
        <f t="shared" si="0"/>
        <v>11</v>
      </c>
      <c r="E23" s="480">
        <f t="shared" si="0"/>
        <v>0</v>
      </c>
      <c r="F23" s="480">
        <f t="shared" si="0"/>
        <v>95</v>
      </c>
      <c r="G23" s="480">
        <f t="shared" si="0"/>
        <v>255</v>
      </c>
      <c r="H23" s="1227" t="s">
        <v>697</v>
      </c>
    </row>
  </sheetData>
  <sheetProtection algorithmName="SHA-512" hashValue="3ilt0gE47B2ycvxfsHRgLvzVj2OQxEGWwzLD8OGpQwPWlayljDUHwrhriFwA0ZxDTDPSA8DwDcPJueSY1cPbJg==" saltValue="4zLVxflNa6ujtfHEkwLhsA==" spinCount="100000" sheet="1" objects="1" scenarios="1"/>
  <mergeCells count="7">
    <mergeCell ref="B8:G8"/>
    <mergeCell ref="C1:D1"/>
    <mergeCell ref="A8:A9"/>
    <mergeCell ref="B9:C9"/>
    <mergeCell ref="D9:E9"/>
    <mergeCell ref="F9:G9"/>
    <mergeCell ref="A3:G3"/>
  </mergeCells>
  <dataValidations xWindow="49239" yWindow="55453" count="1">
    <dataValidation type="whole" allowBlank="1" showInputMessage="1" showErrorMessage="1" errorTitle="Erreur de saisie" error="Vous devez saisir une valeur entière" sqref="B12:G21">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79" firstPageNumber="0" orientation="portrait" r:id="rId1"/>
  <headerFooter alignWithMargins="0">
    <oddFooter>&amp;LRSU 2020 - Présentation au CTP&amp;R&amp;P/&amp;N
&amp;A</oddFooter>
  </headerFooter>
</worksheet>
</file>

<file path=xl/worksheets/sheet44.xml><?xml version="1.0" encoding="utf-8"?>
<worksheet xmlns="http://schemas.openxmlformats.org/spreadsheetml/2006/main" xmlns:r="http://schemas.openxmlformats.org/officeDocument/2006/relationships">
  <sheetPr codeName="Feuil36">
    <pageSetUpPr fitToPage="1"/>
  </sheetPr>
  <dimension ref="A1:G10"/>
  <sheetViews>
    <sheetView showGridLines="0" zoomScaleNormal="100" workbookViewId="0"/>
  </sheetViews>
  <sheetFormatPr baseColWidth="10" defaultRowHeight="12.75" customHeight="1"/>
  <cols>
    <col min="1" max="1" width="12.85546875" customWidth="1"/>
  </cols>
  <sheetData>
    <row r="1" spans="1:7" ht="17.100000000000001" customHeight="1">
      <c r="C1" s="2245" t="s">
        <v>958</v>
      </c>
      <c r="D1" s="2245"/>
    </row>
    <row r="2" spans="1:7" ht="13.5" thickBot="1"/>
    <row r="3" spans="1:7" ht="25.5" customHeight="1" thickBot="1">
      <c r="A3" s="2551" t="s">
        <v>2415</v>
      </c>
      <c r="B3" s="2551"/>
      <c r="C3" s="2551"/>
      <c r="D3" s="2551"/>
      <c r="E3" s="2551"/>
      <c r="F3" s="2551"/>
      <c r="G3" s="2551"/>
    </row>
    <row r="5" spans="1:7" ht="37.5" customHeight="1">
      <c r="A5" s="2553" t="s">
        <v>2523</v>
      </c>
      <c r="B5" s="2302"/>
      <c r="C5" s="2302"/>
      <c r="D5" s="2302"/>
      <c r="E5" s="2302"/>
      <c r="F5" s="2302"/>
      <c r="G5" s="2302"/>
    </row>
    <row r="6" spans="1:7">
      <c r="B6" s="1228">
        <v>1</v>
      </c>
      <c r="C6" s="1228">
        <v>2</v>
      </c>
      <c r="D6" s="1228" t="s">
        <v>261</v>
      </c>
    </row>
    <row r="7" spans="1:7">
      <c r="A7" s="1006"/>
      <c r="B7" s="1007" t="s">
        <v>707</v>
      </c>
      <c r="C7" s="1007" t="s">
        <v>708</v>
      </c>
      <c r="D7" s="1008"/>
    </row>
    <row r="8" spans="1:7" ht="15.95" customHeight="1">
      <c r="A8" s="1006" t="s">
        <v>714</v>
      </c>
      <c r="B8" s="1027">
        <v>4</v>
      </c>
      <c r="C8" s="1027">
        <v>12</v>
      </c>
      <c r="D8" s="1228">
        <v>1</v>
      </c>
    </row>
    <row r="9" spans="1:7" ht="15.95" customHeight="1">
      <c r="A9" s="1006" t="s">
        <v>715</v>
      </c>
      <c r="B9" s="1027">
        <v>3</v>
      </c>
      <c r="C9" s="1027">
        <v>6</v>
      </c>
      <c r="D9" s="1228">
        <v>2</v>
      </c>
    </row>
    <row r="10" spans="1:7" ht="15.95" customHeight="1">
      <c r="A10" s="1006" t="s">
        <v>670</v>
      </c>
      <c r="B10" s="1027">
        <v>0</v>
      </c>
      <c r="C10" s="1027">
        <v>11</v>
      </c>
      <c r="D10" s="1228">
        <v>3</v>
      </c>
    </row>
  </sheetData>
  <sheetProtection algorithmName="SHA-512" hashValue="77WJ+Tsy8Z6tZHBOf2o8JzFzYP/arHvPGN1t/KwzaUTrf6CehY03oDscylYPu8WpRgqAgfDIGmEuRqDPwL1T0Q==" saltValue="vnMqHGCkjbp5yA+2kjSU5A==" spinCount="100000" sheet="1" objects="1" scenarios="1"/>
  <mergeCells count="3">
    <mergeCell ref="C1:D1"/>
    <mergeCell ref="A3:G3"/>
    <mergeCell ref="A5:G5"/>
  </mergeCells>
  <dataValidations count="1">
    <dataValidation type="whole" allowBlank="1" showInputMessage="1" showErrorMessage="1" errorTitle="Erreur de saisie" error="Vous devez saisir une valeur entière" sqref="B8:C10">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orientation="portrait" r:id="rId1"/>
  <headerFooter alignWithMargins="0">
    <oddFooter>&amp;LRSU 2020 - Présentation au CTP&amp;R&amp;P/&amp;N
&amp;A</oddFooter>
  </headerFooter>
</worksheet>
</file>

<file path=xl/worksheets/sheet45.xml><?xml version="1.0" encoding="utf-8"?>
<worksheet xmlns="http://schemas.openxmlformats.org/spreadsheetml/2006/main" xmlns:r="http://schemas.openxmlformats.org/officeDocument/2006/relationships">
  <sheetPr codeName="Feuil37">
    <pageSetUpPr fitToPage="1"/>
  </sheetPr>
  <dimension ref="A1:IV66"/>
  <sheetViews>
    <sheetView showGridLines="0" zoomScaleNormal="85" workbookViewId="0"/>
  </sheetViews>
  <sheetFormatPr baseColWidth="10" defaultColWidth="10.85546875" defaultRowHeight="12.75" customHeight="1"/>
  <cols>
    <col min="1" max="1" width="10.85546875" customWidth="1"/>
    <col min="2" max="2" width="12.42578125" customWidth="1"/>
    <col min="3" max="3" width="17.42578125" customWidth="1"/>
    <col min="4" max="7" width="10.85546875" customWidth="1"/>
    <col min="8" max="8" width="21.85546875" customWidth="1"/>
  </cols>
  <sheetData>
    <row r="1" spans="1:8" ht="17.100000000000001" customHeight="1">
      <c r="A1" s="44"/>
      <c r="B1" s="44"/>
      <c r="C1" s="44"/>
      <c r="D1" s="2245" t="s">
        <v>958</v>
      </c>
      <c r="E1" s="2245"/>
      <c r="F1" s="44"/>
      <c r="G1" s="1"/>
      <c r="H1" s="1"/>
    </row>
    <row r="2" spans="1:8" ht="29.25" customHeight="1" thickBot="1"/>
    <row r="3" spans="1:8" s="1093" customFormat="1" ht="13.5" thickBot="1">
      <c r="A3" s="2386" t="s">
        <v>732</v>
      </c>
      <c r="B3" s="2386"/>
      <c r="C3" s="2386"/>
      <c r="D3" s="2386"/>
      <c r="E3" s="2386"/>
      <c r="F3" s="2386"/>
      <c r="G3" s="2386"/>
      <c r="H3" s="2386"/>
    </row>
    <row r="4" spans="1:8" ht="29.25" customHeight="1"/>
    <row r="5" spans="1:8" s="1097" customFormat="1" ht="12.75" customHeight="1">
      <c r="A5" s="2242" t="s">
        <v>223</v>
      </c>
      <c r="B5" s="2242"/>
      <c r="C5" s="2242"/>
      <c r="D5" s="2242"/>
      <c r="E5" s="2242"/>
      <c r="F5" s="2242"/>
      <c r="G5" s="2242"/>
      <c r="H5" s="2242"/>
    </row>
    <row r="6" spans="1:8" s="1097" customFormat="1" ht="12.75" customHeight="1">
      <c r="A6" s="2242" t="s">
        <v>224</v>
      </c>
      <c r="B6" s="2242"/>
      <c r="C6" s="2242"/>
      <c r="D6" s="2242"/>
      <c r="E6" s="2242"/>
      <c r="F6" s="2242"/>
      <c r="G6" s="2242"/>
      <c r="H6" s="2242"/>
    </row>
    <row r="7" spans="1:8" s="1097" customFormat="1" ht="25.5" customHeight="1">
      <c r="A7" s="2567" t="s">
        <v>225</v>
      </c>
      <c r="B7" s="2244"/>
      <c r="C7" s="2244"/>
      <c r="D7" s="2244"/>
      <c r="E7" s="2244"/>
      <c r="F7" s="2244"/>
      <c r="G7" s="2244"/>
      <c r="H7" s="2244"/>
    </row>
    <row r="8" spans="1:8" ht="29.25" customHeight="1"/>
    <row r="9" spans="1:8" ht="29.25" customHeight="1"/>
    <row r="10" spans="1:8" s="1097" customFormat="1" ht="12.75" customHeight="1">
      <c r="A10" s="2244" t="s">
        <v>845</v>
      </c>
      <c r="B10" s="2244"/>
      <c r="C10" s="2244"/>
      <c r="D10" s="2244"/>
      <c r="E10" s="2244"/>
      <c r="F10" s="2244"/>
      <c r="G10" s="2244"/>
      <c r="H10" s="2244"/>
    </row>
    <row r="11" spans="1:8" ht="29.25" customHeight="1"/>
    <row r="12" spans="1:8" s="1097" customFormat="1" ht="12.75" customHeight="1">
      <c r="A12" s="2239" t="s">
        <v>226</v>
      </c>
      <c r="B12" s="2239"/>
      <c r="C12" s="2239"/>
      <c r="D12" s="2239"/>
      <c r="E12" s="2239"/>
      <c r="F12" s="2239"/>
      <c r="G12" s="2239"/>
      <c r="H12" s="2239"/>
    </row>
    <row r="13" spans="1:8" ht="29.25" customHeight="1"/>
    <row r="14" spans="1:8" s="1097" customFormat="1" ht="12.75" customHeight="1">
      <c r="A14" s="2239" t="s">
        <v>227</v>
      </c>
      <c r="B14" s="2239"/>
      <c r="C14" s="2239"/>
      <c r="D14" s="2239"/>
      <c r="E14" s="2239"/>
      <c r="F14" s="2239"/>
      <c r="G14" s="2239"/>
      <c r="H14" s="2239"/>
    </row>
    <row r="15" spans="1:8" ht="29.25" customHeight="1"/>
    <row r="16" spans="1:8" s="1097" customFormat="1" ht="12.75" customHeight="1">
      <c r="A16" s="2239" t="s">
        <v>228</v>
      </c>
      <c r="B16" s="2239"/>
      <c r="C16" s="2239"/>
      <c r="D16" s="2239"/>
      <c r="E16" s="2239"/>
      <c r="F16" s="2239"/>
      <c r="G16" s="2239"/>
      <c r="H16" s="2239"/>
    </row>
    <row r="17" spans="1:256" ht="29.25" customHeight="1"/>
    <row r="18" spans="1:256" s="1097" customFormat="1" ht="12.75" customHeight="1">
      <c r="A18" s="2239" t="s">
        <v>2357</v>
      </c>
      <c r="B18" s="2239"/>
      <c r="C18" s="2239"/>
      <c r="D18" s="2239"/>
      <c r="E18" s="2239"/>
      <c r="F18" s="2239"/>
      <c r="G18" s="2239"/>
      <c r="H18" s="2239"/>
    </row>
    <row r="19" spans="1:256" ht="29.25" customHeight="1"/>
    <row r="20" spans="1:256" s="1106" customFormat="1" ht="25.5" customHeight="1">
      <c r="A20" s="2564" t="s">
        <v>229</v>
      </c>
      <c r="B20" s="2564"/>
      <c r="C20" s="2564"/>
      <c r="D20" s="2564"/>
      <c r="E20" s="2564"/>
      <c r="F20" s="2564"/>
      <c r="G20" s="2564"/>
      <c r="H20" s="2564"/>
    </row>
    <row r="21" spans="1:256" ht="29.25" customHeight="1"/>
    <row r="22" spans="1:256" s="1098" customFormat="1" ht="12.75" customHeight="1">
      <c r="A22" s="2565" t="s">
        <v>7</v>
      </c>
      <c r="B22" s="2565"/>
      <c r="C22" s="2565"/>
      <c r="D22" s="2565"/>
      <c r="E22" s="2565"/>
      <c r="F22" s="2565"/>
      <c r="G22" s="2565"/>
      <c r="H22" s="2565"/>
      <c r="I22" s="1097"/>
      <c r="J22" s="1097"/>
      <c r="K22" s="1097"/>
      <c r="L22" s="1097"/>
      <c r="M22" s="1097"/>
      <c r="N22" s="1097"/>
      <c r="O22" s="1097"/>
      <c r="P22" s="1097"/>
      <c r="Q22" s="1097"/>
      <c r="R22" s="1097"/>
      <c r="S22" s="1097"/>
      <c r="T22" s="1097"/>
      <c r="U22" s="1097"/>
      <c r="V22" s="1097"/>
      <c r="W22" s="1097"/>
      <c r="X22" s="1097"/>
      <c r="Y22" s="1097"/>
      <c r="Z22" s="1097"/>
      <c r="AA22" s="1097"/>
      <c r="AB22" s="1097"/>
      <c r="AC22" s="1097"/>
      <c r="AD22" s="1097"/>
      <c r="AE22" s="1097"/>
      <c r="AF22" s="1097"/>
      <c r="AG22" s="1097"/>
      <c r="AH22" s="1097"/>
      <c r="AI22" s="1097"/>
      <c r="AJ22" s="1097"/>
      <c r="AK22" s="1097"/>
      <c r="AL22" s="1097"/>
      <c r="AM22" s="1097"/>
      <c r="AN22" s="1097"/>
      <c r="AO22" s="1097"/>
      <c r="AP22" s="1097"/>
      <c r="AQ22" s="1097"/>
      <c r="AR22" s="1097"/>
      <c r="AS22" s="1097"/>
      <c r="AT22" s="1097"/>
      <c r="AU22" s="1097"/>
      <c r="AV22" s="1097"/>
      <c r="AW22" s="1097"/>
      <c r="AX22" s="1097"/>
      <c r="AY22" s="1097"/>
      <c r="AZ22" s="1097"/>
      <c r="BA22" s="1097"/>
      <c r="BB22" s="1097"/>
      <c r="BC22" s="1097"/>
      <c r="BD22" s="1097"/>
      <c r="BE22" s="1097"/>
      <c r="BF22" s="1097"/>
      <c r="BG22" s="1097"/>
      <c r="BH22" s="1097"/>
      <c r="BI22" s="1097"/>
      <c r="BJ22" s="1097"/>
      <c r="BK22" s="1097"/>
      <c r="BL22" s="1097"/>
      <c r="BM22" s="1097"/>
      <c r="BN22" s="1097"/>
      <c r="BO22" s="1097"/>
      <c r="BP22" s="1097"/>
      <c r="BQ22" s="1097"/>
      <c r="BR22" s="1097"/>
      <c r="BS22" s="1097"/>
      <c r="BT22" s="1097"/>
      <c r="BU22" s="1097"/>
      <c r="BV22" s="1097"/>
      <c r="BW22" s="1097"/>
      <c r="BX22" s="1097"/>
      <c r="BY22" s="1097"/>
      <c r="BZ22" s="1097"/>
      <c r="CA22" s="1097"/>
      <c r="CB22" s="1097"/>
      <c r="CC22" s="1097"/>
      <c r="CD22" s="1097"/>
      <c r="CE22" s="1097"/>
      <c r="CF22" s="1097"/>
      <c r="CG22" s="1097"/>
      <c r="CH22" s="1097"/>
      <c r="CI22" s="1097"/>
      <c r="CJ22" s="1097"/>
      <c r="CK22" s="1097"/>
      <c r="CL22" s="1097"/>
      <c r="CM22" s="1097"/>
      <c r="CN22" s="1097"/>
      <c r="CO22" s="1097"/>
      <c r="CP22" s="1097"/>
      <c r="CQ22" s="1097"/>
      <c r="CR22" s="1097"/>
      <c r="CS22" s="1097"/>
      <c r="CT22" s="1097"/>
      <c r="CU22" s="1097"/>
      <c r="CV22" s="1097"/>
      <c r="CW22" s="1097"/>
      <c r="CX22" s="1097"/>
      <c r="CY22" s="1097"/>
      <c r="CZ22" s="1097"/>
      <c r="DA22" s="1097"/>
      <c r="DB22" s="1097"/>
      <c r="DC22" s="1097"/>
      <c r="DD22" s="1097"/>
      <c r="DE22" s="1097"/>
      <c r="DF22" s="1097"/>
      <c r="DG22" s="1097"/>
      <c r="DH22" s="1097"/>
      <c r="DI22" s="1097"/>
      <c r="DJ22" s="1097"/>
      <c r="DK22" s="1097"/>
      <c r="DL22" s="1097"/>
      <c r="DM22" s="1097"/>
      <c r="DN22" s="1097"/>
      <c r="DO22" s="1097"/>
      <c r="DP22" s="1097"/>
      <c r="DQ22" s="1097"/>
      <c r="DR22" s="1097"/>
      <c r="DS22" s="1097"/>
      <c r="DT22" s="1097"/>
      <c r="DU22" s="1097"/>
      <c r="DV22" s="1097"/>
      <c r="DW22" s="1097"/>
      <c r="DX22" s="1097"/>
      <c r="DY22" s="1097"/>
      <c r="DZ22" s="1097"/>
      <c r="EA22" s="1097"/>
      <c r="EB22" s="1097"/>
      <c r="EC22" s="1097"/>
      <c r="ED22" s="1097"/>
      <c r="EE22" s="1097"/>
      <c r="EF22" s="1097"/>
      <c r="EG22" s="1097"/>
      <c r="EH22" s="1097"/>
      <c r="EI22" s="1097"/>
      <c r="EJ22" s="1097"/>
      <c r="EK22" s="1097"/>
      <c r="EL22" s="1097"/>
      <c r="EM22" s="1097"/>
      <c r="EN22" s="1097"/>
      <c r="EO22" s="1097"/>
      <c r="EP22" s="1097"/>
      <c r="EQ22" s="1097"/>
      <c r="ER22" s="1097"/>
      <c r="ES22" s="1097"/>
      <c r="ET22" s="1097"/>
      <c r="EU22" s="1097"/>
      <c r="EV22" s="1097"/>
      <c r="EW22" s="1097"/>
      <c r="EX22" s="1097"/>
      <c r="EY22" s="1097"/>
      <c r="EZ22" s="1097"/>
      <c r="FA22" s="1097"/>
      <c r="FB22" s="1097"/>
      <c r="FC22" s="1097"/>
      <c r="FD22" s="1097"/>
      <c r="FE22" s="1097"/>
      <c r="FF22" s="1097"/>
      <c r="FG22" s="1097"/>
      <c r="FH22" s="1097"/>
      <c r="FI22" s="1097"/>
      <c r="FJ22" s="1097"/>
      <c r="FK22" s="1097"/>
      <c r="FL22" s="1097"/>
      <c r="FM22" s="1097"/>
      <c r="FN22" s="1097"/>
      <c r="FO22" s="1097"/>
      <c r="FP22" s="1097"/>
      <c r="FQ22" s="1097"/>
      <c r="FR22" s="1097"/>
      <c r="FS22" s="1097"/>
      <c r="FT22" s="1097"/>
      <c r="FU22" s="1097"/>
      <c r="FV22" s="1097"/>
      <c r="FW22" s="1097"/>
      <c r="FX22" s="1097"/>
      <c r="FY22" s="1097"/>
      <c r="FZ22" s="1097"/>
      <c r="GA22" s="1097"/>
      <c r="GB22" s="1097"/>
      <c r="GC22" s="1097"/>
      <c r="GD22" s="1097"/>
      <c r="GE22" s="1097"/>
      <c r="GF22" s="1097"/>
      <c r="GG22" s="1097"/>
      <c r="GH22" s="1097"/>
      <c r="GI22" s="1097"/>
      <c r="GJ22" s="1097"/>
      <c r="GK22" s="1097"/>
      <c r="GL22" s="1097"/>
      <c r="GM22" s="1097"/>
      <c r="GN22" s="1097"/>
      <c r="GO22" s="1097"/>
      <c r="GP22" s="1097"/>
      <c r="GQ22" s="1097"/>
      <c r="GR22" s="1097"/>
      <c r="GS22" s="1097"/>
      <c r="GT22" s="1097"/>
      <c r="GU22" s="1097"/>
      <c r="GV22" s="1097"/>
      <c r="GW22" s="1097"/>
      <c r="GX22" s="1097"/>
      <c r="GY22" s="1097"/>
      <c r="GZ22" s="1097"/>
      <c r="HA22" s="1097"/>
      <c r="HB22" s="1097"/>
      <c r="HC22" s="1097"/>
      <c r="HD22" s="1097"/>
      <c r="HE22" s="1097"/>
      <c r="HF22" s="1097"/>
      <c r="HG22" s="1097"/>
      <c r="HH22" s="1097"/>
      <c r="HI22" s="1097"/>
      <c r="HJ22" s="1097"/>
      <c r="HK22" s="1097"/>
      <c r="HL22" s="1097"/>
      <c r="HM22" s="1097"/>
      <c r="HN22" s="1097"/>
      <c r="HO22" s="1097"/>
      <c r="HP22" s="1097"/>
      <c r="HQ22" s="1097"/>
      <c r="HR22" s="1097"/>
      <c r="HS22" s="1097"/>
      <c r="HT22" s="1097"/>
      <c r="HU22" s="1097"/>
      <c r="HV22" s="1097"/>
      <c r="HW22" s="1097"/>
      <c r="HX22" s="1097"/>
      <c r="HY22" s="1097"/>
      <c r="HZ22" s="1097"/>
      <c r="IA22" s="1097"/>
      <c r="IB22" s="1097"/>
      <c r="IC22" s="1097"/>
      <c r="ID22" s="1097"/>
      <c r="IE22" s="1097"/>
      <c r="IF22" s="1097"/>
      <c r="IG22" s="1097"/>
      <c r="IH22" s="1097"/>
      <c r="II22" s="1097"/>
      <c r="IJ22" s="1097"/>
      <c r="IK22" s="1097"/>
      <c r="IL22" s="1097"/>
      <c r="IM22" s="1097"/>
      <c r="IN22" s="1097"/>
      <c r="IO22" s="1097"/>
      <c r="IP22" s="1097"/>
      <c r="IQ22" s="1097"/>
      <c r="IR22" s="1097"/>
      <c r="IS22" s="1097"/>
      <c r="IT22" s="1097"/>
      <c r="IU22" s="1097"/>
      <c r="IV22" s="1097"/>
    </row>
    <row r="23" spans="1:256" s="1098" customFormat="1" ht="51" customHeight="1">
      <c r="A23" s="2566" t="s">
        <v>1547</v>
      </c>
      <c r="B23" s="2566"/>
      <c r="C23" s="2566"/>
      <c r="D23" s="2566"/>
      <c r="E23" s="2566"/>
      <c r="F23" s="2566"/>
      <c r="G23" s="2566"/>
      <c r="H23" s="2566"/>
      <c r="I23" s="1097"/>
      <c r="J23" s="1097"/>
      <c r="K23" s="1097"/>
      <c r="L23" s="1097"/>
      <c r="M23" s="1097"/>
      <c r="N23" s="1097"/>
      <c r="O23" s="1097"/>
      <c r="P23" s="1097"/>
      <c r="Q23" s="1097"/>
      <c r="R23" s="1097"/>
      <c r="S23" s="1097"/>
      <c r="T23" s="1097"/>
      <c r="U23" s="1097"/>
      <c r="V23" s="1097"/>
      <c r="W23" s="1097"/>
      <c r="X23" s="1097"/>
      <c r="Y23" s="1097"/>
      <c r="Z23" s="1097"/>
      <c r="AA23" s="1097"/>
      <c r="AB23" s="1097"/>
      <c r="AC23" s="1097"/>
      <c r="AD23" s="1097"/>
      <c r="AE23" s="1097"/>
      <c r="AF23" s="1097"/>
      <c r="AG23" s="1097"/>
      <c r="AH23" s="1097"/>
      <c r="AI23" s="1097"/>
      <c r="AJ23" s="1097"/>
      <c r="AK23" s="1097"/>
      <c r="AL23" s="1097"/>
      <c r="AM23" s="1097"/>
      <c r="AN23" s="1097"/>
      <c r="AO23" s="1097"/>
      <c r="AP23" s="1097"/>
      <c r="AQ23" s="1097"/>
      <c r="AR23" s="1097"/>
      <c r="AS23" s="1097"/>
      <c r="AT23" s="1097"/>
      <c r="AU23" s="1097"/>
      <c r="AV23" s="1097"/>
      <c r="AW23" s="1097"/>
      <c r="AX23" s="1097"/>
      <c r="AY23" s="1097"/>
      <c r="AZ23" s="1097"/>
      <c r="BA23" s="1097"/>
      <c r="BB23" s="1097"/>
      <c r="BC23" s="1097"/>
      <c r="BD23" s="1097"/>
      <c r="BE23" s="1097"/>
      <c r="BF23" s="1097"/>
      <c r="BG23" s="1097"/>
      <c r="BH23" s="1097"/>
      <c r="BI23" s="1097"/>
      <c r="BJ23" s="1097"/>
      <c r="BK23" s="1097"/>
      <c r="BL23" s="1097"/>
      <c r="BM23" s="1097"/>
      <c r="BN23" s="1097"/>
      <c r="BO23" s="1097"/>
      <c r="BP23" s="1097"/>
      <c r="BQ23" s="1097"/>
      <c r="BR23" s="1097"/>
      <c r="BS23" s="1097"/>
      <c r="BT23" s="1097"/>
      <c r="BU23" s="1097"/>
      <c r="BV23" s="1097"/>
      <c r="BW23" s="1097"/>
      <c r="BX23" s="1097"/>
      <c r="BY23" s="1097"/>
      <c r="BZ23" s="1097"/>
      <c r="CA23" s="1097"/>
      <c r="CB23" s="1097"/>
      <c r="CC23" s="1097"/>
      <c r="CD23" s="1097"/>
      <c r="CE23" s="1097"/>
      <c r="CF23" s="1097"/>
      <c r="CG23" s="1097"/>
      <c r="CH23" s="1097"/>
      <c r="CI23" s="1097"/>
      <c r="CJ23" s="1097"/>
      <c r="CK23" s="1097"/>
      <c r="CL23" s="1097"/>
      <c r="CM23" s="1097"/>
      <c r="CN23" s="1097"/>
      <c r="CO23" s="1097"/>
      <c r="CP23" s="1097"/>
      <c r="CQ23" s="1097"/>
      <c r="CR23" s="1097"/>
      <c r="CS23" s="1097"/>
      <c r="CT23" s="1097"/>
      <c r="CU23" s="1097"/>
      <c r="CV23" s="1097"/>
      <c r="CW23" s="1097"/>
      <c r="CX23" s="1097"/>
      <c r="CY23" s="1097"/>
      <c r="CZ23" s="1097"/>
      <c r="DA23" s="1097"/>
      <c r="DB23" s="1097"/>
      <c r="DC23" s="1097"/>
      <c r="DD23" s="1097"/>
      <c r="DE23" s="1097"/>
      <c r="DF23" s="1097"/>
      <c r="DG23" s="1097"/>
      <c r="DH23" s="1097"/>
      <c r="DI23" s="1097"/>
      <c r="DJ23" s="1097"/>
      <c r="DK23" s="1097"/>
      <c r="DL23" s="1097"/>
      <c r="DM23" s="1097"/>
      <c r="DN23" s="1097"/>
      <c r="DO23" s="1097"/>
      <c r="DP23" s="1097"/>
      <c r="DQ23" s="1097"/>
      <c r="DR23" s="1097"/>
      <c r="DS23" s="1097"/>
      <c r="DT23" s="1097"/>
      <c r="DU23" s="1097"/>
      <c r="DV23" s="1097"/>
      <c r="DW23" s="1097"/>
      <c r="DX23" s="1097"/>
      <c r="DY23" s="1097"/>
      <c r="DZ23" s="1097"/>
      <c r="EA23" s="1097"/>
      <c r="EB23" s="1097"/>
      <c r="EC23" s="1097"/>
      <c r="ED23" s="1097"/>
      <c r="EE23" s="1097"/>
      <c r="EF23" s="1097"/>
      <c r="EG23" s="1097"/>
      <c r="EH23" s="1097"/>
      <c r="EI23" s="1097"/>
      <c r="EJ23" s="1097"/>
      <c r="EK23" s="1097"/>
      <c r="EL23" s="1097"/>
      <c r="EM23" s="1097"/>
      <c r="EN23" s="1097"/>
      <c r="EO23" s="1097"/>
      <c r="EP23" s="1097"/>
      <c r="EQ23" s="1097"/>
      <c r="ER23" s="1097"/>
      <c r="ES23" s="1097"/>
      <c r="ET23" s="1097"/>
      <c r="EU23" s="1097"/>
      <c r="EV23" s="1097"/>
      <c r="EW23" s="1097"/>
      <c r="EX23" s="1097"/>
      <c r="EY23" s="1097"/>
      <c r="EZ23" s="1097"/>
      <c r="FA23" s="1097"/>
      <c r="FB23" s="1097"/>
      <c r="FC23" s="1097"/>
      <c r="FD23" s="1097"/>
      <c r="FE23" s="1097"/>
      <c r="FF23" s="1097"/>
      <c r="FG23" s="1097"/>
      <c r="FH23" s="1097"/>
      <c r="FI23" s="1097"/>
      <c r="FJ23" s="1097"/>
      <c r="FK23" s="1097"/>
      <c r="FL23" s="1097"/>
      <c r="FM23" s="1097"/>
      <c r="FN23" s="1097"/>
      <c r="FO23" s="1097"/>
      <c r="FP23" s="1097"/>
      <c r="FQ23" s="1097"/>
      <c r="FR23" s="1097"/>
      <c r="FS23" s="1097"/>
      <c r="FT23" s="1097"/>
      <c r="FU23" s="1097"/>
      <c r="FV23" s="1097"/>
      <c r="FW23" s="1097"/>
      <c r="FX23" s="1097"/>
      <c r="FY23" s="1097"/>
      <c r="FZ23" s="1097"/>
      <c r="GA23" s="1097"/>
      <c r="GB23" s="1097"/>
      <c r="GC23" s="1097"/>
      <c r="GD23" s="1097"/>
      <c r="GE23" s="1097"/>
      <c r="GF23" s="1097"/>
      <c r="GG23" s="1097"/>
      <c r="GH23" s="1097"/>
      <c r="GI23" s="1097"/>
      <c r="GJ23" s="1097"/>
      <c r="GK23" s="1097"/>
      <c r="GL23" s="1097"/>
      <c r="GM23" s="1097"/>
      <c r="GN23" s="1097"/>
      <c r="GO23" s="1097"/>
      <c r="GP23" s="1097"/>
      <c r="GQ23" s="1097"/>
      <c r="GR23" s="1097"/>
      <c r="GS23" s="1097"/>
      <c r="GT23" s="1097"/>
      <c r="GU23" s="1097"/>
      <c r="GV23" s="1097"/>
      <c r="GW23" s="1097"/>
      <c r="GX23" s="1097"/>
      <c r="GY23" s="1097"/>
      <c r="GZ23" s="1097"/>
      <c r="HA23" s="1097"/>
      <c r="HB23" s="1097"/>
      <c r="HC23" s="1097"/>
      <c r="HD23" s="1097"/>
      <c r="HE23" s="1097"/>
      <c r="HF23" s="1097"/>
      <c r="HG23" s="1097"/>
      <c r="HH23" s="1097"/>
      <c r="HI23" s="1097"/>
      <c r="HJ23" s="1097"/>
      <c r="HK23" s="1097"/>
      <c r="HL23" s="1097"/>
      <c r="HM23" s="1097"/>
      <c r="HN23" s="1097"/>
      <c r="HO23" s="1097"/>
      <c r="HP23" s="1097"/>
      <c r="HQ23" s="1097"/>
      <c r="HR23" s="1097"/>
      <c r="HS23" s="1097"/>
      <c r="HT23" s="1097"/>
      <c r="HU23" s="1097"/>
      <c r="HV23" s="1097"/>
      <c r="HW23" s="1097"/>
      <c r="HX23" s="1097"/>
      <c r="HY23" s="1097"/>
      <c r="HZ23" s="1097"/>
      <c r="IA23" s="1097"/>
      <c r="IB23" s="1097"/>
      <c r="IC23" s="1097"/>
      <c r="ID23" s="1097"/>
      <c r="IE23" s="1097"/>
      <c r="IF23" s="1097"/>
      <c r="IG23" s="1097"/>
      <c r="IH23" s="1097"/>
      <c r="II23" s="1097"/>
      <c r="IJ23" s="1097"/>
      <c r="IK23" s="1097"/>
      <c r="IL23" s="1097"/>
      <c r="IM23" s="1097"/>
      <c r="IN23" s="1097"/>
      <c r="IO23" s="1097"/>
      <c r="IP23" s="1097"/>
      <c r="IQ23" s="1097"/>
      <c r="IR23" s="1097"/>
      <c r="IS23" s="1097"/>
      <c r="IT23" s="1097"/>
      <c r="IU23" s="1097"/>
      <c r="IV23" s="1097"/>
    </row>
    <row r="24" spans="1:256" ht="29.25" customHeight="1"/>
    <row r="25" spans="1:256" s="1093" customFormat="1" ht="12.75" customHeight="1">
      <c r="A25" s="2242" t="s">
        <v>1548</v>
      </c>
      <c r="B25" s="2242"/>
      <c r="C25" s="2242"/>
      <c r="D25" s="2242"/>
      <c r="E25" s="2242"/>
      <c r="F25" s="2242"/>
      <c r="G25" s="2242"/>
      <c r="H25" s="2242"/>
    </row>
    <row r="26" spans="1:256" ht="29.25" customHeight="1"/>
    <row r="27" spans="1:256" s="1098" customFormat="1" ht="12.75" customHeight="1">
      <c r="A27" s="2240" t="s">
        <v>1549</v>
      </c>
      <c r="B27" s="2240"/>
      <c r="C27" s="2240"/>
      <c r="D27" s="2240"/>
      <c r="E27" s="2240"/>
      <c r="F27" s="2240"/>
      <c r="G27" s="2240"/>
      <c r="H27" s="2240"/>
      <c r="I27" s="1097"/>
      <c r="J27" s="1097"/>
      <c r="K27" s="1097"/>
      <c r="L27" s="1097"/>
      <c r="M27" s="1097"/>
      <c r="N27" s="1097"/>
      <c r="O27" s="1097"/>
      <c r="P27" s="1097"/>
      <c r="Q27" s="1097"/>
      <c r="R27" s="1097"/>
      <c r="S27" s="1097"/>
      <c r="T27" s="1097"/>
      <c r="U27" s="1097"/>
      <c r="V27" s="1097"/>
      <c r="W27" s="1097"/>
      <c r="X27" s="1097"/>
      <c r="Y27" s="1097"/>
      <c r="Z27" s="1097"/>
      <c r="AA27" s="1097"/>
      <c r="AB27" s="1097"/>
      <c r="AC27" s="1097"/>
      <c r="AD27" s="1097"/>
      <c r="AE27" s="1097"/>
      <c r="AF27" s="1097"/>
      <c r="AG27" s="1097"/>
      <c r="AH27" s="1097"/>
      <c r="AI27" s="1097"/>
      <c r="AJ27" s="1097"/>
      <c r="AK27" s="1097"/>
      <c r="AL27" s="1097"/>
      <c r="AM27" s="1097"/>
      <c r="AN27" s="1097"/>
      <c r="AO27" s="1097"/>
      <c r="AP27" s="1097"/>
      <c r="AQ27" s="1097"/>
      <c r="AR27" s="1097"/>
      <c r="AS27" s="1097"/>
      <c r="AT27" s="1097"/>
      <c r="AU27" s="1097"/>
      <c r="AV27" s="1097"/>
      <c r="AW27" s="1097"/>
      <c r="AX27" s="1097"/>
      <c r="AY27" s="1097"/>
      <c r="AZ27" s="1097"/>
      <c r="BA27" s="1097"/>
      <c r="BB27" s="1097"/>
      <c r="BC27" s="1097"/>
      <c r="BD27" s="1097"/>
      <c r="BE27" s="1097"/>
      <c r="BF27" s="1097"/>
      <c r="BG27" s="1097"/>
      <c r="BH27" s="1097"/>
      <c r="BI27" s="1097"/>
      <c r="BJ27" s="1097"/>
      <c r="BK27" s="1097"/>
      <c r="BL27" s="1097"/>
      <c r="BM27" s="1097"/>
      <c r="BN27" s="1097"/>
      <c r="BO27" s="1097"/>
      <c r="BP27" s="1097"/>
      <c r="BQ27" s="1097"/>
      <c r="BR27" s="1097"/>
      <c r="BS27" s="1097"/>
      <c r="BT27" s="1097"/>
      <c r="BU27" s="1097"/>
      <c r="BV27" s="1097"/>
      <c r="BW27" s="1097"/>
      <c r="BX27" s="1097"/>
      <c r="BY27" s="1097"/>
      <c r="BZ27" s="1097"/>
      <c r="CA27" s="1097"/>
      <c r="CB27" s="1097"/>
      <c r="CC27" s="1097"/>
      <c r="CD27" s="1097"/>
      <c r="CE27" s="1097"/>
      <c r="CF27" s="1097"/>
      <c r="CG27" s="1097"/>
      <c r="CH27" s="1097"/>
      <c r="CI27" s="1097"/>
      <c r="CJ27" s="1097"/>
      <c r="CK27" s="1097"/>
      <c r="CL27" s="1097"/>
      <c r="CM27" s="1097"/>
      <c r="CN27" s="1097"/>
      <c r="CO27" s="1097"/>
      <c r="CP27" s="1097"/>
      <c r="CQ27" s="1097"/>
      <c r="CR27" s="1097"/>
      <c r="CS27" s="1097"/>
      <c r="CT27" s="1097"/>
      <c r="CU27" s="1097"/>
      <c r="CV27" s="1097"/>
      <c r="CW27" s="1097"/>
      <c r="CX27" s="1097"/>
      <c r="CY27" s="1097"/>
      <c r="CZ27" s="1097"/>
      <c r="DA27" s="1097"/>
      <c r="DB27" s="1097"/>
      <c r="DC27" s="1097"/>
      <c r="DD27" s="1097"/>
      <c r="DE27" s="1097"/>
      <c r="DF27" s="1097"/>
      <c r="DG27" s="1097"/>
      <c r="DH27" s="1097"/>
      <c r="DI27" s="1097"/>
      <c r="DJ27" s="1097"/>
      <c r="DK27" s="1097"/>
      <c r="DL27" s="1097"/>
      <c r="DM27" s="1097"/>
      <c r="DN27" s="1097"/>
      <c r="DO27" s="1097"/>
      <c r="DP27" s="1097"/>
      <c r="DQ27" s="1097"/>
      <c r="DR27" s="1097"/>
      <c r="DS27" s="1097"/>
      <c r="DT27" s="1097"/>
      <c r="DU27" s="1097"/>
      <c r="DV27" s="1097"/>
      <c r="DW27" s="1097"/>
      <c r="DX27" s="1097"/>
      <c r="DY27" s="1097"/>
      <c r="DZ27" s="1097"/>
      <c r="EA27" s="1097"/>
      <c r="EB27" s="1097"/>
      <c r="EC27" s="1097"/>
      <c r="ED27" s="1097"/>
      <c r="EE27" s="1097"/>
      <c r="EF27" s="1097"/>
      <c r="EG27" s="1097"/>
      <c r="EH27" s="1097"/>
      <c r="EI27" s="1097"/>
      <c r="EJ27" s="1097"/>
      <c r="EK27" s="1097"/>
      <c r="EL27" s="1097"/>
      <c r="EM27" s="1097"/>
      <c r="EN27" s="1097"/>
      <c r="EO27" s="1097"/>
      <c r="EP27" s="1097"/>
      <c r="EQ27" s="1097"/>
      <c r="ER27" s="1097"/>
      <c r="ES27" s="1097"/>
      <c r="ET27" s="1097"/>
      <c r="EU27" s="1097"/>
      <c r="EV27" s="1097"/>
      <c r="EW27" s="1097"/>
      <c r="EX27" s="1097"/>
      <c r="EY27" s="1097"/>
      <c r="EZ27" s="1097"/>
      <c r="FA27" s="1097"/>
      <c r="FB27" s="1097"/>
      <c r="FC27" s="1097"/>
      <c r="FD27" s="1097"/>
      <c r="FE27" s="1097"/>
      <c r="FF27" s="1097"/>
      <c r="FG27" s="1097"/>
      <c r="FH27" s="1097"/>
      <c r="FI27" s="1097"/>
      <c r="FJ27" s="1097"/>
      <c r="FK27" s="1097"/>
      <c r="FL27" s="1097"/>
      <c r="FM27" s="1097"/>
      <c r="FN27" s="1097"/>
      <c r="FO27" s="1097"/>
      <c r="FP27" s="1097"/>
      <c r="FQ27" s="1097"/>
      <c r="FR27" s="1097"/>
      <c r="FS27" s="1097"/>
      <c r="FT27" s="1097"/>
      <c r="FU27" s="1097"/>
      <c r="FV27" s="1097"/>
      <c r="FW27" s="1097"/>
      <c r="FX27" s="1097"/>
      <c r="FY27" s="1097"/>
      <c r="FZ27" s="1097"/>
      <c r="GA27" s="1097"/>
      <c r="GB27" s="1097"/>
      <c r="GC27" s="1097"/>
      <c r="GD27" s="1097"/>
      <c r="GE27" s="1097"/>
      <c r="GF27" s="1097"/>
      <c r="GG27" s="1097"/>
      <c r="GH27" s="1097"/>
      <c r="GI27" s="1097"/>
      <c r="GJ27" s="1097"/>
      <c r="GK27" s="1097"/>
      <c r="GL27" s="1097"/>
      <c r="GM27" s="1097"/>
      <c r="GN27" s="1097"/>
      <c r="GO27" s="1097"/>
      <c r="GP27" s="1097"/>
      <c r="GQ27" s="1097"/>
      <c r="GR27" s="1097"/>
      <c r="GS27" s="1097"/>
      <c r="GT27" s="1097"/>
      <c r="GU27" s="1097"/>
      <c r="GV27" s="1097"/>
      <c r="GW27" s="1097"/>
      <c r="GX27" s="1097"/>
      <c r="GY27" s="1097"/>
      <c r="GZ27" s="1097"/>
      <c r="HA27" s="1097"/>
      <c r="HB27" s="1097"/>
      <c r="HC27" s="1097"/>
      <c r="HD27" s="1097"/>
      <c r="HE27" s="1097"/>
      <c r="HF27" s="1097"/>
      <c r="HG27" s="1097"/>
      <c r="HH27" s="1097"/>
      <c r="HI27" s="1097"/>
      <c r="HJ27" s="1097"/>
      <c r="HK27" s="1097"/>
      <c r="HL27" s="1097"/>
      <c r="HM27" s="1097"/>
      <c r="HN27" s="1097"/>
      <c r="HO27" s="1097"/>
      <c r="HP27" s="1097"/>
      <c r="HQ27" s="1097"/>
      <c r="HR27" s="1097"/>
      <c r="HS27" s="1097"/>
      <c r="HT27" s="1097"/>
      <c r="HU27" s="1097"/>
      <c r="HV27" s="1097"/>
      <c r="HW27" s="1097"/>
      <c r="HX27" s="1097"/>
      <c r="HY27" s="1097"/>
      <c r="HZ27" s="1097"/>
      <c r="IA27" s="1097"/>
      <c r="IB27" s="1097"/>
      <c r="IC27" s="1097"/>
      <c r="ID27" s="1097"/>
      <c r="IE27" s="1097"/>
      <c r="IF27" s="1097"/>
      <c r="IG27" s="1097"/>
      <c r="IH27" s="1097"/>
      <c r="II27" s="1097"/>
      <c r="IJ27" s="1097"/>
      <c r="IK27" s="1097"/>
      <c r="IL27" s="1097"/>
      <c r="IM27" s="1097"/>
      <c r="IN27" s="1097"/>
      <c r="IO27" s="1097"/>
      <c r="IP27" s="1097"/>
      <c r="IQ27" s="1097"/>
      <c r="IR27" s="1097"/>
      <c r="IS27" s="1097"/>
      <c r="IT27" s="1097"/>
      <c r="IU27" s="1097"/>
      <c r="IV27" s="1097"/>
    </row>
    <row r="28" spans="1:256" s="1098" customFormat="1" ht="12.75" customHeight="1">
      <c r="A28" s="2264" t="s">
        <v>1550</v>
      </c>
      <c r="B28" s="2259"/>
      <c r="C28" s="2259"/>
      <c r="D28" s="2259"/>
      <c r="E28" s="2259"/>
      <c r="F28" s="2259"/>
      <c r="G28" s="2259"/>
      <c r="H28" s="2259"/>
      <c r="I28" s="1097"/>
      <c r="J28" s="1097"/>
      <c r="K28" s="1097"/>
      <c r="L28" s="1097"/>
      <c r="M28" s="1097"/>
      <c r="N28" s="1097"/>
      <c r="O28" s="1097"/>
      <c r="P28" s="1097"/>
      <c r="Q28" s="1097"/>
      <c r="R28" s="1097"/>
      <c r="S28" s="1097"/>
      <c r="T28" s="1097"/>
      <c r="U28" s="1097"/>
      <c r="V28" s="1097"/>
      <c r="W28" s="1097"/>
      <c r="X28" s="1097"/>
      <c r="Y28" s="1097"/>
      <c r="Z28" s="1097"/>
      <c r="AA28" s="1097"/>
      <c r="AB28" s="1097"/>
      <c r="AC28" s="1097"/>
      <c r="AD28" s="1097"/>
      <c r="AE28" s="1097"/>
      <c r="AF28" s="1097"/>
      <c r="AG28" s="1097"/>
      <c r="AH28" s="1097"/>
      <c r="AI28" s="1097"/>
      <c r="AJ28" s="1097"/>
      <c r="AK28" s="1097"/>
      <c r="AL28" s="1097"/>
      <c r="AM28" s="1097"/>
      <c r="AN28" s="1097"/>
      <c r="AO28" s="1097"/>
      <c r="AP28" s="1097"/>
      <c r="AQ28" s="1097"/>
      <c r="AR28" s="1097"/>
      <c r="AS28" s="1097"/>
      <c r="AT28" s="1097"/>
      <c r="AU28" s="1097"/>
      <c r="AV28" s="1097"/>
      <c r="AW28" s="1097"/>
      <c r="AX28" s="1097"/>
      <c r="AY28" s="1097"/>
      <c r="AZ28" s="1097"/>
      <c r="BA28" s="1097"/>
      <c r="BB28" s="1097"/>
      <c r="BC28" s="1097"/>
      <c r="BD28" s="1097"/>
      <c r="BE28" s="1097"/>
      <c r="BF28" s="1097"/>
      <c r="BG28" s="1097"/>
      <c r="BH28" s="1097"/>
      <c r="BI28" s="1097"/>
      <c r="BJ28" s="1097"/>
      <c r="BK28" s="1097"/>
      <c r="BL28" s="1097"/>
      <c r="BM28" s="1097"/>
      <c r="BN28" s="1097"/>
      <c r="BO28" s="1097"/>
      <c r="BP28" s="1097"/>
      <c r="BQ28" s="1097"/>
      <c r="BR28" s="1097"/>
      <c r="BS28" s="1097"/>
      <c r="BT28" s="1097"/>
      <c r="BU28" s="1097"/>
      <c r="BV28" s="1097"/>
      <c r="BW28" s="1097"/>
      <c r="BX28" s="1097"/>
      <c r="BY28" s="1097"/>
      <c r="BZ28" s="1097"/>
      <c r="CA28" s="1097"/>
      <c r="CB28" s="1097"/>
      <c r="CC28" s="1097"/>
      <c r="CD28" s="1097"/>
      <c r="CE28" s="1097"/>
      <c r="CF28" s="1097"/>
      <c r="CG28" s="1097"/>
      <c r="CH28" s="1097"/>
      <c r="CI28" s="1097"/>
      <c r="CJ28" s="1097"/>
      <c r="CK28" s="1097"/>
      <c r="CL28" s="1097"/>
      <c r="CM28" s="1097"/>
      <c r="CN28" s="1097"/>
      <c r="CO28" s="1097"/>
      <c r="CP28" s="1097"/>
      <c r="CQ28" s="1097"/>
      <c r="CR28" s="1097"/>
      <c r="CS28" s="1097"/>
      <c r="CT28" s="1097"/>
      <c r="CU28" s="1097"/>
      <c r="CV28" s="1097"/>
      <c r="CW28" s="1097"/>
      <c r="CX28" s="1097"/>
      <c r="CY28" s="1097"/>
      <c r="CZ28" s="1097"/>
      <c r="DA28" s="1097"/>
      <c r="DB28" s="1097"/>
      <c r="DC28" s="1097"/>
      <c r="DD28" s="1097"/>
      <c r="DE28" s="1097"/>
      <c r="DF28" s="1097"/>
      <c r="DG28" s="1097"/>
      <c r="DH28" s="1097"/>
      <c r="DI28" s="1097"/>
      <c r="DJ28" s="1097"/>
      <c r="DK28" s="1097"/>
      <c r="DL28" s="1097"/>
      <c r="DM28" s="1097"/>
      <c r="DN28" s="1097"/>
      <c r="DO28" s="1097"/>
      <c r="DP28" s="1097"/>
      <c r="DQ28" s="1097"/>
      <c r="DR28" s="1097"/>
      <c r="DS28" s="1097"/>
      <c r="DT28" s="1097"/>
      <c r="DU28" s="1097"/>
      <c r="DV28" s="1097"/>
      <c r="DW28" s="1097"/>
      <c r="DX28" s="1097"/>
      <c r="DY28" s="1097"/>
      <c r="DZ28" s="1097"/>
      <c r="EA28" s="1097"/>
      <c r="EB28" s="1097"/>
      <c r="EC28" s="1097"/>
      <c r="ED28" s="1097"/>
      <c r="EE28" s="1097"/>
      <c r="EF28" s="1097"/>
      <c r="EG28" s="1097"/>
      <c r="EH28" s="1097"/>
      <c r="EI28" s="1097"/>
      <c r="EJ28" s="1097"/>
      <c r="EK28" s="1097"/>
      <c r="EL28" s="1097"/>
      <c r="EM28" s="1097"/>
      <c r="EN28" s="1097"/>
      <c r="EO28" s="1097"/>
      <c r="EP28" s="1097"/>
      <c r="EQ28" s="1097"/>
      <c r="ER28" s="1097"/>
      <c r="ES28" s="1097"/>
      <c r="ET28" s="1097"/>
      <c r="EU28" s="1097"/>
      <c r="EV28" s="1097"/>
      <c r="EW28" s="1097"/>
      <c r="EX28" s="1097"/>
      <c r="EY28" s="1097"/>
      <c r="EZ28" s="1097"/>
      <c r="FA28" s="1097"/>
      <c r="FB28" s="1097"/>
      <c r="FC28" s="1097"/>
      <c r="FD28" s="1097"/>
      <c r="FE28" s="1097"/>
      <c r="FF28" s="1097"/>
      <c r="FG28" s="1097"/>
      <c r="FH28" s="1097"/>
      <c r="FI28" s="1097"/>
      <c r="FJ28" s="1097"/>
      <c r="FK28" s="1097"/>
      <c r="FL28" s="1097"/>
      <c r="FM28" s="1097"/>
      <c r="FN28" s="1097"/>
      <c r="FO28" s="1097"/>
      <c r="FP28" s="1097"/>
      <c r="FQ28" s="1097"/>
      <c r="FR28" s="1097"/>
      <c r="FS28" s="1097"/>
      <c r="FT28" s="1097"/>
      <c r="FU28" s="1097"/>
      <c r="FV28" s="1097"/>
      <c r="FW28" s="1097"/>
      <c r="FX28" s="1097"/>
      <c r="FY28" s="1097"/>
      <c r="FZ28" s="1097"/>
      <c r="GA28" s="1097"/>
      <c r="GB28" s="1097"/>
      <c r="GC28" s="1097"/>
      <c r="GD28" s="1097"/>
      <c r="GE28" s="1097"/>
      <c r="GF28" s="1097"/>
      <c r="GG28" s="1097"/>
      <c r="GH28" s="1097"/>
      <c r="GI28" s="1097"/>
      <c r="GJ28" s="1097"/>
      <c r="GK28" s="1097"/>
      <c r="GL28" s="1097"/>
      <c r="GM28" s="1097"/>
      <c r="GN28" s="1097"/>
      <c r="GO28" s="1097"/>
      <c r="GP28" s="1097"/>
      <c r="GQ28" s="1097"/>
      <c r="GR28" s="1097"/>
      <c r="GS28" s="1097"/>
      <c r="GT28" s="1097"/>
      <c r="GU28" s="1097"/>
      <c r="GV28" s="1097"/>
      <c r="GW28" s="1097"/>
      <c r="GX28" s="1097"/>
      <c r="GY28" s="1097"/>
      <c r="GZ28" s="1097"/>
      <c r="HA28" s="1097"/>
      <c r="HB28" s="1097"/>
      <c r="HC28" s="1097"/>
      <c r="HD28" s="1097"/>
      <c r="HE28" s="1097"/>
      <c r="HF28" s="1097"/>
      <c r="HG28" s="1097"/>
      <c r="HH28" s="1097"/>
      <c r="HI28" s="1097"/>
      <c r="HJ28" s="1097"/>
      <c r="HK28" s="1097"/>
      <c r="HL28" s="1097"/>
      <c r="HM28" s="1097"/>
      <c r="HN28" s="1097"/>
      <c r="HO28" s="1097"/>
      <c r="HP28" s="1097"/>
      <c r="HQ28" s="1097"/>
      <c r="HR28" s="1097"/>
      <c r="HS28" s="1097"/>
      <c r="HT28" s="1097"/>
      <c r="HU28" s="1097"/>
      <c r="HV28" s="1097"/>
      <c r="HW28" s="1097"/>
      <c r="HX28" s="1097"/>
      <c r="HY28" s="1097"/>
      <c r="HZ28" s="1097"/>
      <c r="IA28" s="1097"/>
      <c r="IB28" s="1097"/>
      <c r="IC28" s="1097"/>
      <c r="ID28" s="1097"/>
      <c r="IE28" s="1097"/>
      <c r="IF28" s="1097"/>
      <c r="IG28" s="1097"/>
      <c r="IH28" s="1097"/>
      <c r="II28" s="1097"/>
      <c r="IJ28" s="1097"/>
      <c r="IK28" s="1097"/>
      <c r="IL28" s="1097"/>
      <c r="IM28" s="1097"/>
      <c r="IN28" s="1097"/>
      <c r="IO28" s="1097"/>
      <c r="IP28" s="1097"/>
      <c r="IQ28" s="1097"/>
      <c r="IR28" s="1097"/>
      <c r="IS28" s="1097"/>
      <c r="IT28" s="1097"/>
      <c r="IU28" s="1097"/>
      <c r="IV28" s="1097"/>
    </row>
    <row r="29" spans="1:256" s="1098" customFormat="1" ht="12.75" customHeight="1">
      <c r="A29" s="2264" t="s">
        <v>113</v>
      </c>
      <c r="B29" s="2259"/>
      <c r="C29" s="2259"/>
      <c r="D29" s="2259"/>
      <c r="E29" s="2259"/>
      <c r="F29" s="2259"/>
      <c r="G29" s="2259"/>
      <c r="H29" s="2259"/>
      <c r="I29" s="1097"/>
      <c r="J29" s="1097"/>
      <c r="K29" s="1097"/>
      <c r="L29" s="1097"/>
      <c r="M29" s="1097"/>
      <c r="N29" s="1097"/>
      <c r="O29" s="1097"/>
      <c r="P29" s="1097"/>
      <c r="Q29" s="1097"/>
      <c r="R29" s="1097"/>
      <c r="S29" s="1097"/>
      <c r="T29" s="1097"/>
      <c r="U29" s="1097"/>
      <c r="V29" s="1097"/>
      <c r="W29" s="1097"/>
      <c r="X29" s="1097"/>
      <c r="Y29" s="1097"/>
      <c r="Z29" s="1097"/>
      <c r="AA29" s="1097"/>
      <c r="AB29" s="1097"/>
      <c r="AC29" s="1097"/>
      <c r="AD29" s="1097"/>
      <c r="AE29" s="1097"/>
      <c r="AF29" s="1097"/>
      <c r="AG29" s="1097"/>
      <c r="AH29" s="1097"/>
      <c r="AI29" s="1097"/>
      <c r="AJ29" s="1097"/>
      <c r="AK29" s="1097"/>
      <c r="AL29" s="1097"/>
      <c r="AM29" s="1097"/>
      <c r="AN29" s="1097"/>
      <c r="AO29" s="1097"/>
      <c r="AP29" s="1097"/>
      <c r="AQ29" s="1097"/>
      <c r="AR29" s="1097"/>
      <c r="AS29" s="1097"/>
      <c r="AT29" s="1097"/>
      <c r="AU29" s="1097"/>
      <c r="AV29" s="1097"/>
      <c r="AW29" s="1097"/>
      <c r="AX29" s="1097"/>
      <c r="AY29" s="1097"/>
      <c r="AZ29" s="1097"/>
      <c r="BA29" s="1097"/>
      <c r="BB29" s="1097"/>
      <c r="BC29" s="1097"/>
      <c r="BD29" s="1097"/>
      <c r="BE29" s="1097"/>
      <c r="BF29" s="1097"/>
      <c r="BG29" s="1097"/>
      <c r="BH29" s="1097"/>
      <c r="BI29" s="1097"/>
      <c r="BJ29" s="1097"/>
      <c r="BK29" s="1097"/>
      <c r="BL29" s="1097"/>
      <c r="BM29" s="1097"/>
      <c r="BN29" s="1097"/>
      <c r="BO29" s="1097"/>
      <c r="BP29" s="1097"/>
      <c r="BQ29" s="1097"/>
      <c r="BR29" s="1097"/>
      <c r="BS29" s="1097"/>
      <c r="BT29" s="1097"/>
      <c r="BU29" s="1097"/>
      <c r="BV29" s="1097"/>
      <c r="BW29" s="1097"/>
      <c r="BX29" s="1097"/>
      <c r="BY29" s="1097"/>
      <c r="BZ29" s="1097"/>
      <c r="CA29" s="1097"/>
      <c r="CB29" s="1097"/>
      <c r="CC29" s="1097"/>
      <c r="CD29" s="1097"/>
      <c r="CE29" s="1097"/>
      <c r="CF29" s="1097"/>
      <c r="CG29" s="1097"/>
      <c r="CH29" s="1097"/>
      <c r="CI29" s="1097"/>
      <c r="CJ29" s="1097"/>
      <c r="CK29" s="1097"/>
      <c r="CL29" s="1097"/>
      <c r="CM29" s="1097"/>
      <c r="CN29" s="1097"/>
      <c r="CO29" s="1097"/>
      <c r="CP29" s="1097"/>
      <c r="CQ29" s="1097"/>
      <c r="CR29" s="1097"/>
      <c r="CS29" s="1097"/>
      <c r="CT29" s="1097"/>
      <c r="CU29" s="1097"/>
      <c r="CV29" s="1097"/>
      <c r="CW29" s="1097"/>
      <c r="CX29" s="1097"/>
      <c r="CY29" s="1097"/>
      <c r="CZ29" s="1097"/>
      <c r="DA29" s="1097"/>
      <c r="DB29" s="1097"/>
      <c r="DC29" s="1097"/>
      <c r="DD29" s="1097"/>
      <c r="DE29" s="1097"/>
      <c r="DF29" s="1097"/>
      <c r="DG29" s="1097"/>
      <c r="DH29" s="1097"/>
      <c r="DI29" s="1097"/>
      <c r="DJ29" s="1097"/>
      <c r="DK29" s="1097"/>
      <c r="DL29" s="1097"/>
      <c r="DM29" s="1097"/>
      <c r="DN29" s="1097"/>
      <c r="DO29" s="1097"/>
      <c r="DP29" s="1097"/>
      <c r="DQ29" s="1097"/>
      <c r="DR29" s="1097"/>
      <c r="DS29" s="1097"/>
      <c r="DT29" s="1097"/>
      <c r="DU29" s="1097"/>
      <c r="DV29" s="1097"/>
      <c r="DW29" s="1097"/>
      <c r="DX29" s="1097"/>
      <c r="DY29" s="1097"/>
      <c r="DZ29" s="1097"/>
      <c r="EA29" s="1097"/>
      <c r="EB29" s="1097"/>
      <c r="EC29" s="1097"/>
      <c r="ED29" s="1097"/>
      <c r="EE29" s="1097"/>
      <c r="EF29" s="1097"/>
      <c r="EG29" s="1097"/>
      <c r="EH29" s="1097"/>
      <c r="EI29" s="1097"/>
      <c r="EJ29" s="1097"/>
      <c r="EK29" s="1097"/>
      <c r="EL29" s="1097"/>
      <c r="EM29" s="1097"/>
      <c r="EN29" s="1097"/>
      <c r="EO29" s="1097"/>
      <c r="EP29" s="1097"/>
      <c r="EQ29" s="1097"/>
      <c r="ER29" s="1097"/>
      <c r="ES29" s="1097"/>
      <c r="ET29" s="1097"/>
      <c r="EU29" s="1097"/>
      <c r="EV29" s="1097"/>
      <c r="EW29" s="1097"/>
      <c r="EX29" s="1097"/>
      <c r="EY29" s="1097"/>
      <c r="EZ29" s="1097"/>
      <c r="FA29" s="1097"/>
      <c r="FB29" s="1097"/>
      <c r="FC29" s="1097"/>
      <c r="FD29" s="1097"/>
      <c r="FE29" s="1097"/>
      <c r="FF29" s="1097"/>
      <c r="FG29" s="1097"/>
      <c r="FH29" s="1097"/>
      <c r="FI29" s="1097"/>
      <c r="FJ29" s="1097"/>
      <c r="FK29" s="1097"/>
      <c r="FL29" s="1097"/>
      <c r="FM29" s="1097"/>
      <c r="FN29" s="1097"/>
      <c r="FO29" s="1097"/>
      <c r="FP29" s="1097"/>
      <c r="FQ29" s="1097"/>
      <c r="FR29" s="1097"/>
      <c r="FS29" s="1097"/>
      <c r="FT29" s="1097"/>
      <c r="FU29" s="1097"/>
      <c r="FV29" s="1097"/>
      <c r="FW29" s="1097"/>
      <c r="FX29" s="1097"/>
      <c r="FY29" s="1097"/>
      <c r="FZ29" s="1097"/>
      <c r="GA29" s="1097"/>
      <c r="GB29" s="1097"/>
      <c r="GC29" s="1097"/>
      <c r="GD29" s="1097"/>
      <c r="GE29" s="1097"/>
      <c r="GF29" s="1097"/>
      <c r="GG29" s="1097"/>
      <c r="GH29" s="1097"/>
      <c r="GI29" s="1097"/>
      <c r="GJ29" s="1097"/>
      <c r="GK29" s="1097"/>
      <c r="GL29" s="1097"/>
      <c r="GM29" s="1097"/>
      <c r="GN29" s="1097"/>
      <c r="GO29" s="1097"/>
      <c r="GP29" s="1097"/>
      <c r="GQ29" s="1097"/>
      <c r="GR29" s="1097"/>
      <c r="GS29" s="1097"/>
      <c r="GT29" s="1097"/>
      <c r="GU29" s="1097"/>
      <c r="GV29" s="1097"/>
      <c r="GW29" s="1097"/>
      <c r="GX29" s="1097"/>
      <c r="GY29" s="1097"/>
      <c r="GZ29" s="1097"/>
      <c r="HA29" s="1097"/>
      <c r="HB29" s="1097"/>
      <c r="HC29" s="1097"/>
      <c r="HD29" s="1097"/>
      <c r="HE29" s="1097"/>
      <c r="HF29" s="1097"/>
      <c r="HG29" s="1097"/>
      <c r="HH29" s="1097"/>
      <c r="HI29" s="1097"/>
      <c r="HJ29" s="1097"/>
      <c r="HK29" s="1097"/>
      <c r="HL29" s="1097"/>
      <c r="HM29" s="1097"/>
      <c r="HN29" s="1097"/>
      <c r="HO29" s="1097"/>
      <c r="HP29" s="1097"/>
      <c r="HQ29" s="1097"/>
      <c r="HR29" s="1097"/>
      <c r="HS29" s="1097"/>
      <c r="HT29" s="1097"/>
      <c r="HU29" s="1097"/>
      <c r="HV29" s="1097"/>
      <c r="HW29" s="1097"/>
      <c r="HX29" s="1097"/>
      <c r="HY29" s="1097"/>
      <c r="HZ29" s="1097"/>
      <c r="IA29" s="1097"/>
      <c r="IB29" s="1097"/>
      <c r="IC29" s="1097"/>
      <c r="ID29" s="1097"/>
      <c r="IE29" s="1097"/>
      <c r="IF29" s="1097"/>
      <c r="IG29" s="1097"/>
      <c r="IH29" s="1097"/>
      <c r="II29" s="1097"/>
      <c r="IJ29" s="1097"/>
      <c r="IK29" s="1097"/>
      <c r="IL29" s="1097"/>
      <c r="IM29" s="1097"/>
      <c r="IN29" s="1097"/>
      <c r="IO29" s="1097"/>
      <c r="IP29" s="1097"/>
      <c r="IQ29" s="1097"/>
      <c r="IR29" s="1097"/>
      <c r="IS29" s="1097"/>
      <c r="IT29" s="1097"/>
      <c r="IU29" s="1097"/>
      <c r="IV29" s="1097"/>
    </row>
    <row r="30" spans="1:256" ht="29.25" customHeight="1"/>
    <row r="31" spans="1:256" ht="29.25" customHeight="1"/>
    <row r="32" spans="1:256" s="1098" customFormat="1" ht="12.75" customHeight="1">
      <c r="A32" s="2427" t="s">
        <v>8</v>
      </c>
      <c r="B32" s="2427"/>
      <c r="C32" s="2427"/>
      <c r="D32" s="2427"/>
      <c r="E32" s="2427"/>
      <c r="F32" s="2427"/>
      <c r="G32" s="2427"/>
      <c r="H32" s="2427"/>
      <c r="I32" s="1097"/>
      <c r="J32" s="1097"/>
      <c r="K32" s="1097"/>
      <c r="L32" s="1097"/>
      <c r="M32" s="1097"/>
      <c r="N32" s="1097"/>
      <c r="O32" s="1097"/>
      <c r="P32" s="1097"/>
      <c r="Q32" s="1097"/>
      <c r="R32" s="1097"/>
      <c r="S32" s="1097"/>
      <c r="T32" s="1097"/>
      <c r="U32" s="1097"/>
      <c r="V32" s="1097"/>
      <c r="W32" s="1097"/>
      <c r="X32" s="1097"/>
      <c r="Y32" s="1097"/>
      <c r="Z32" s="1097"/>
      <c r="AA32" s="1097"/>
      <c r="AB32" s="1097"/>
      <c r="AC32" s="1097"/>
      <c r="AD32" s="1097"/>
      <c r="AE32" s="1097"/>
      <c r="AF32" s="1097"/>
      <c r="AG32" s="1097"/>
      <c r="AH32" s="1097"/>
      <c r="AI32" s="1097"/>
      <c r="AJ32" s="1097"/>
      <c r="AK32" s="1097"/>
      <c r="AL32" s="1097"/>
      <c r="AM32" s="1097"/>
      <c r="AN32" s="1097"/>
      <c r="AO32" s="1097"/>
      <c r="AP32" s="1097"/>
      <c r="AQ32" s="1097"/>
      <c r="AR32" s="1097"/>
      <c r="AS32" s="1097"/>
      <c r="AT32" s="1097"/>
      <c r="AU32" s="1097"/>
      <c r="AV32" s="1097"/>
      <c r="AW32" s="1097"/>
      <c r="AX32" s="1097"/>
      <c r="AY32" s="1097"/>
      <c r="AZ32" s="1097"/>
      <c r="BA32" s="1097"/>
      <c r="BB32" s="1097"/>
      <c r="BC32" s="1097"/>
      <c r="BD32" s="1097"/>
      <c r="BE32" s="1097"/>
      <c r="BF32" s="1097"/>
      <c r="BG32" s="1097"/>
      <c r="BH32" s="1097"/>
      <c r="BI32" s="1097"/>
      <c r="BJ32" s="1097"/>
      <c r="BK32" s="1097"/>
      <c r="BL32" s="1097"/>
      <c r="BM32" s="1097"/>
      <c r="BN32" s="1097"/>
      <c r="BO32" s="1097"/>
      <c r="BP32" s="1097"/>
      <c r="BQ32" s="1097"/>
      <c r="BR32" s="1097"/>
      <c r="BS32" s="1097"/>
      <c r="BT32" s="1097"/>
      <c r="BU32" s="1097"/>
      <c r="BV32" s="1097"/>
      <c r="BW32" s="1097"/>
      <c r="BX32" s="1097"/>
      <c r="BY32" s="1097"/>
      <c r="BZ32" s="1097"/>
      <c r="CA32" s="1097"/>
      <c r="CB32" s="1097"/>
      <c r="CC32" s="1097"/>
      <c r="CD32" s="1097"/>
      <c r="CE32" s="1097"/>
      <c r="CF32" s="1097"/>
      <c r="CG32" s="1097"/>
      <c r="CH32" s="1097"/>
      <c r="CI32" s="1097"/>
      <c r="CJ32" s="1097"/>
      <c r="CK32" s="1097"/>
      <c r="CL32" s="1097"/>
      <c r="CM32" s="1097"/>
      <c r="CN32" s="1097"/>
      <c r="CO32" s="1097"/>
      <c r="CP32" s="1097"/>
      <c r="CQ32" s="1097"/>
      <c r="CR32" s="1097"/>
      <c r="CS32" s="1097"/>
      <c r="CT32" s="1097"/>
      <c r="CU32" s="1097"/>
      <c r="CV32" s="1097"/>
      <c r="CW32" s="1097"/>
      <c r="CX32" s="1097"/>
      <c r="CY32" s="1097"/>
      <c r="CZ32" s="1097"/>
      <c r="DA32" s="1097"/>
      <c r="DB32" s="1097"/>
      <c r="DC32" s="1097"/>
      <c r="DD32" s="1097"/>
      <c r="DE32" s="1097"/>
      <c r="DF32" s="1097"/>
      <c r="DG32" s="1097"/>
      <c r="DH32" s="1097"/>
      <c r="DI32" s="1097"/>
      <c r="DJ32" s="1097"/>
      <c r="DK32" s="1097"/>
      <c r="DL32" s="1097"/>
      <c r="DM32" s="1097"/>
      <c r="DN32" s="1097"/>
      <c r="DO32" s="1097"/>
      <c r="DP32" s="1097"/>
      <c r="DQ32" s="1097"/>
      <c r="DR32" s="1097"/>
      <c r="DS32" s="1097"/>
      <c r="DT32" s="1097"/>
      <c r="DU32" s="1097"/>
      <c r="DV32" s="1097"/>
      <c r="DW32" s="1097"/>
      <c r="DX32" s="1097"/>
      <c r="DY32" s="1097"/>
      <c r="DZ32" s="1097"/>
      <c r="EA32" s="1097"/>
      <c r="EB32" s="1097"/>
      <c r="EC32" s="1097"/>
      <c r="ED32" s="1097"/>
      <c r="EE32" s="1097"/>
      <c r="EF32" s="1097"/>
      <c r="EG32" s="1097"/>
      <c r="EH32" s="1097"/>
      <c r="EI32" s="1097"/>
      <c r="EJ32" s="1097"/>
      <c r="EK32" s="1097"/>
      <c r="EL32" s="1097"/>
      <c r="EM32" s="1097"/>
      <c r="EN32" s="1097"/>
      <c r="EO32" s="1097"/>
      <c r="EP32" s="1097"/>
      <c r="EQ32" s="1097"/>
      <c r="ER32" s="1097"/>
      <c r="ES32" s="1097"/>
      <c r="ET32" s="1097"/>
      <c r="EU32" s="1097"/>
      <c r="EV32" s="1097"/>
      <c r="EW32" s="1097"/>
      <c r="EX32" s="1097"/>
      <c r="EY32" s="1097"/>
      <c r="EZ32" s="1097"/>
      <c r="FA32" s="1097"/>
      <c r="FB32" s="1097"/>
      <c r="FC32" s="1097"/>
      <c r="FD32" s="1097"/>
      <c r="FE32" s="1097"/>
      <c r="FF32" s="1097"/>
      <c r="FG32" s="1097"/>
      <c r="FH32" s="1097"/>
      <c r="FI32" s="1097"/>
      <c r="FJ32" s="1097"/>
      <c r="FK32" s="1097"/>
      <c r="FL32" s="1097"/>
      <c r="FM32" s="1097"/>
      <c r="FN32" s="1097"/>
      <c r="FO32" s="1097"/>
      <c r="FP32" s="1097"/>
      <c r="FQ32" s="1097"/>
      <c r="FR32" s="1097"/>
      <c r="FS32" s="1097"/>
      <c r="FT32" s="1097"/>
      <c r="FU32" s="1097"/>
      <c r="FV32" s="1097"/>
      <c r="FW32" s="1097"/>
      <c r="FX32" s="1097"/>
      <c r="FY32" s="1097"/>
      <c r="FZ32" s="1097"/>
      <c r="GA32" s="1097"/>
      <c r="GB32" s="1097"/>
      <c r="GC32" s="1097"/>
      <c r="GD32" s="1097"/>
      <c r="GE32" s="1097"/>
      <c r="GF32" s="1097"/>
      <c r="GG32" s="1097"/>
      <c r="GH32" s="1097"/>
      <c r="GI32" s="1097"/>
      <c r="GJ32" s="1097"/>
      <c r="GK32" s="1097"/>
      <c r="GL32" s="1097"/>
      <c r="GM32" s="1097"/>
      <c r="GN32" s="1097"/>
      <c r="GO32" s="1097"/>
      <c r="GP32" s="1097"/>
      <c r="GQ32" s="1097"/>
      <c r="GR32" s="1097"/>
      <c r="GS32" s="1097"/>
      <c r="GT32" s="1097"/>
      <c r="GU32" s="1097"/>
      <c r="GV32" s="1097"/>
      <c r="GW32" s="1097"/>
      <c r="GX32" s="1097"/>
      <c r="GY32" s="1097"/>
      <c r="GZ32" s="1097"/>
      <c r="HA32" s="1097"/>
      <c r="HB32" s="1097"/>
      <c r="HC32" s="1097"/>
      <c r="HD32" s="1097"/>
      <c r="HE32" s="1097"/>
      <c r="HF32" s="1097"/>
      <c r="HG32" s="1097"/>
      <c r="HH32" s="1097"/>
      <c r="HI32" s="1097"/>
      <c r="HJ32" s="1097"/>
      <c r="HK32" s="1097"/>
      <c r="HL32" s="1097"/>
      <c r="HM32" s="1097"/>
      <c r="HN32" s="1097"/>
      <c r="HO32" s="1097"/>
      <c r="HP32" s="1097"/>
      <c r="HQ32" s="1097"/>
      <c r="HR32" s="1097"/>
      <c r="HS32" s="1097"/>
      <c r="HT32" s="1097"/>
      <c r="HU32" s="1097"/>
      <c r="HV32" s="1097"/>
      <c r="HW32" s="1097"/>
      <c r="HX32" s="1097"/>
      <c r="HY32" s="1097"/>
      <c r="HZ32" s="1097"/>
      <c r="IA32" s="1097"/>
      <c r="IB32" s="1097"/>
      <c r="IC32" s="1097"/>
      <c r="ID32" s="1097"/>
      <c r="IE32" s="1097"/>
      <c r="IF32" s="1097"/>
      <c r="IG32" s="1097"/>
      <c r="IH32" s="1097"/>
      <c r="II32" s="1097"/>
      <c r="IJ32" s="1097"/>
      <c r="IK32" s="1097"/>
      <c r="IL32" s="1097"/>
      <c r="IM32" s="1097"/>
      <c r="IN32" s="1097"/>
      <c r="IO32" s="1097"/>
      <c r="IP32" s="1097"/>
      <c r="IQ32" s="1097"/>
      <c r="IR32" s="1097"/>
      <c r="IS32" s="1097"/>
      <c r="IT32" s="1097"/>
      <c r="IU32" s="1097"/>
      <c r="IV32" s="1097"/>
    </row>
    <row r="33" spans="1:256" s="1098" customFormat="1" ht="12.75" customHeight="1">
      <c r="A33" s="2240" t="s">
        <v>1551</v>
      </c>
      <c r="B33" s="2240"/>
      <c r="C33" s="2240"/>
      <c r="D33" s="2240"/>
      <c r="E33" s="2240"/>
      <c r="F33" s="2240"/>
      <c r="G33" s="2240"/>
      <c r="H33" s="2240"/>
      <c r="I33" s="1097"/>
      <c r="J33" s="1097"/>
      <c r="K33" s="1097"/>
      <c r="L33" s="1097"/>
      <c r="M33" s="1097"/>
      <c r="N33" s="1097"/>
      <c r="O33" s="1097"/>
      <c r="P33" s="1097"/>
      <c r="Q33" s="1097"/>
      <c r="R33" s="1097"/>
      <c r="S33" s="1097"/>
      <c r="T33" s="1097"/>
      <c r="U33" s="1097"/>
      <c r="V33" s="1097"/>
      <c r="W33" s="1097"/>
      <c r="X33" s="1097"/>
      <c r="Y33" s="1097"/>
      <c r="Z33" s="1097"/>
      <c r="AA33" s="1097"/>
      <c r="AB33" s="1097"/>
      <c r="AC33" s="1097"/>
      <c r="AD33" s="1097"/>
      <c r="AE33" s="1097"/>
      <c r="AF33" s="1097"/>
      <c r="AG33" s="1097"/>
      <c r="AH33" s="1097"/>
      <c r="AI33" s="1097"/>
      <c r="AJ33" s="1097"/>
      <c r="AK33" s="1097"/>
      <c r="AL33" s="1097"/>
      <c r="AM33" s="1097"/>
      <c r="AN33" s="1097"/>
      <c r="AO33" s="1097"/>
      <c r="AP33" s="1097"/>
      <c r="AQ33" s="1097"/>
      <c r="AR33" s="1097"/>
      <c r="AS33" s="1097"/>
      <c r="AT33" s="1097"/>
      <c r="AU33" s="1097"/>
      <c r="AV33" s="1097"/>
      <c r="AW33" s="1097"/>
      <c r="AX33" s="1097"/>
      <c r="AY33" s="1097"/>
      <c r="AZ33" s="1097"/>
      <c r="BA33" s="1097"/>
      <c r="BB33" s="1097"/>
      <c r="BC33" s="1097"/>
      <c r="BD33" s="1097"/>
      <c r="BE33" s="1097"/>
      <c r="BF33" s="1097"/>
      <c r="BG33" s="1097"/>
      <c r="BH33" s="1097"/>
      <c r="BI33" s="1097"/>
      <c r="BJ33" s="1097"/>
      <c r="BK33" s="1097"/>
      <c r="BL33" s="1097"/>
      <c r="BM33" s="1097"/>
      <c r="BN33" s="1097"/>
      <c r="BO33" s="1097"/>
      <c r="BP33" s="1097"/>
      <c r="BQ33" s="1097"/>
      <c r="BR33" s="1097"/>
      <c r="BS33" s="1097"/>
      <c r="BT33" s="1097"/>
      <c r="BU33" s="1097"/>
      <c r="BV33" s="1097"/>
      <c r="BW33" s="1097"/>
      <c r="BX33" s="1097"/>
      <c r="BY33" s="1097"/>
      <c r="BZ33" s="1097"/>
      <c r="CA33" s="1097"/>
      <c r="CB33" s="1097"/>
      <c r="CC33" s="1097"/>
      <c r="CD33" s="1097"/>
      <c r="CE33" s="1097"/>
      <c r="CF33" s="1097"/>
      <c r="CG33" s="1097"/>
      <c r="CH33" s="1097"/>
      <c r="CI33" s="1097"/>
      <c r="CJ33" s="1097"/>
      <c r="CK33" s="1097"/>
      <c r="CL33" s="1097"/>
      <c r="CM33" s="1097"/>
      <c r="CN33" s="1097"/>
      <c r="CO33" s="1097"/>
      <c r="CP33" s="1097"/>
      <c r="CQ33" s="1097"/>
      <c r="CR33" s="1097"/>
      <c r="CS33" s="1097"/>
      <c r="CT33" s="1097"/>
      <c r="CU33" s="1097"/>
      <c r="CV33" s="1097"/>
      <c r="CW33" s="1097"/>
      <c r="CX33" s="1097"/>
      <c r="CY33" s="1097"/>
      <c r="CZ33" s="1097"/>
      <c r="DA33" s="1097"/>
      <c r="DB33" s="1097"/>
      <c r="DC33" s="1097"/>
      <c r="DD33" s="1097"/>
      <c r="DE33" s="1097"/>
      <c r="DF33" s="1097"/>
      <c r="DG33" s="1097"/>
      <c r="DH33" s="1097"/>
      <c r="DI33" s="1097"/>
      <c r="DJ33" s="1097"/>
      <c r="DK33" s="1097"/>
      <c r="DL33" s="1097"/>
      <c r="DM33" s="1097"/>
      <c r="DN33" s="1097"/>
      <c r="DO33" s="1097"/>
      <c r="DP33" s="1097"/>
      <c r="DQ33" s="1097"/>
      <c r="DR33" s="1097"/>
      <c r="DS33" s="1097"/>
      <c r="DT33" s="1097"/>
      <c r="DU33" s="1097"/>
      <c r="DV33" s="1097"/>
      <c r="DW33" s="1097"/>
      <c r="DX33" s="1097"/>
      <c r="DY33" s="1097"/>
      <c r="DZ33" s="1097"/>
      <c r="EA33" s="1097"/>
      <c r="EB33" s="1097"/>
      <c r="EC33" s="1097"/>
      <c r="ED33" s="1097"/>
      <c r="EE33" s="1097"/>
      <c r="EF33" s="1097"/>
      <c r="EG33" s="1097"/>
      <c r="EH33" s="1097"/>
      <c r="EI33" s="1097"/>
      <c r="EJ33" s="1097"/>
      <c r="EK33" s="1097"/>
      <c r="EL33" s="1097"/>
      <c r="EM33" s="1097"/>
      <c r="EN33" s="1097"/>
      <c r="EO33" s="1097"/>
      <c r="EP33" s="1097"/>
      <c r="EQ33" s="1097"/>
      <c r="ER33" s="1097"/>
      <c r="ES33" s="1097"/>
      <c r="ET33" s="1097"/>
      <c r="EU33" s="1097"/>
      <c r="EV33" s="1097"/>
      <c r="EW33" s="1097"/>
      <c r="EX33" s="1097"/>
      <c r="EY33" s="1097"/>
      <c r="EZ33" s="1097"/>
      <c r="FA33" s="1097"/>
      <c r="FB33" s="1097"/>
      <c r="FC33" s="1097"/>
      <c r="FD33" s="1097"/>
      <c r="FE33" s="1097"/>
      <c r="FF33" s="1097"/>
      <c r="FG33" s="1097"/>
      <c r="FH33" s="1097"/>
      <c r="FI33" s="1097"/>
      <c r="FJ33" s="1097"/>
      <c r="FK33" s="1097"/>
      <c r="FL33" s="1097"/>
      <c r="FM33" s="1097"/>
      <c r="FN33" s="1097"/>
      <c r="FO33" s="1097"/>
      <c r="FP33" s="1097"/>
      <c r="FQ33" s="1097"/>
      <c r="FR33" s="1097"/>
      <c r="FS33" s="1097"/>
      <c r="FT33" s="1097"/>
      <c r="FU33" s="1097"/>
      <c r="FV33" s="1097"/>
      <c r="FW33" s="1097"/>
      <c r="FX33" s="1097"/>
      <c r="FY33" s="1097"/>
      <c r="FZ33" s="1097"/>
      <c r="GA33" s="1097"/>
      <c r="GB33" s="1097"/>
      <c r="GC33" s="1097"/>
      <c r="GD33" s="1097"/>
      <c r="GE33" s="1097"/>
      <c r="GF33" s="1097"/>
      <c r="GG33" s="1097"/>
      <c r="GH33" s="1097"/>
      <c r="GI33" s="1097"/>
      <c r="GJ33" s="1097"/>
      <c r="GK33" s="1097"/>
      <c r="GL33" s="1097"/>
      <c r="GM33" s="1097"/>
      <c r="GN33" s="1097"/>
      <c r="GO33" s="1097"/>
      <c r="GP33" s="1097"/>
      <c r="GQ33" s="1097"/>
      <c r="GR33" s="1097"/>
      <c r="GS33" s="1097"/>
      <c r="GT33" s="1097"/>
      <c r="GU33" s="1097"/>
      <c r="GV33" s="1097"/>
      <c r="GW33" s="1097"/>
      <c r="GX33" s="1097"/>
      <c r="GY33" s="1097"/>
      <c r="GZ33" s="1097"/>
      <c r="HA33" s="1097"/>
      <c r="HB33" s="1097"/>
      <c r="HC33" s="1097"/>
      <c r="HD33" s="1097"/>
      <c r="HE33" s="1097"/>
      <c r="HF33" s="1097"/>
      <c r="HG33" s="1097"/>
      <c r="HH33" s="1097"/>
      <c r="HI33" s="1097"/>
      <c r="HJ33" s="1097"/>
      <c r="HK33" s="1097"/>
      <c r="HL33" s="1097"/>
      <c r="HM33" s="1097"/>
      <c r="HN33" s="1097"/>
      <c r="HO33" s="1097"/>
      <c r="HP33" s="1097"/>
      <c r="HQ33" s="1097"/>
      <c r="HR33" s="1097"/>
      <c r="HS33" s="1097"/>
      <c r="HT33" s="1097"/>
      <c r="HU33" s="1097"/>
      <c r="HV33" s="1097"/>
      <c r="HW33" s="1097"/>
      <c r="HX33" s="1097"/>
      <c r="HY33" s="1097"/>
      <c r="HZ33" s="1097"/>
      <c r="IA33" s="1097"/>
      <c r="IB33" s="1097"/>
      <c r="IC33" s="1097"/>
      <c r="ID33" s="1097"/>
      <c r="IE33" s="1097"/>
      <c r="IF33" s="1097"/>
      <c r="IG33" s="1097"/>
      <c r="IH33" s="1097"/>
      <c r="II33" s="1097"/>
      <c r="IJ33" s="1097"/>
      <c r="IK33" s="1097"/>
      <c r="IL33" s="1097"/>
      <c r="IM33" s="1097"/>
      <c r="IN33" s="1097"/>
      <c r="IO33" s="1097"/>
      <c r="IP33" s="1097"/>
      <c r="IQ33" s="1097"/>
      <c r="IR33" s="1097"/>
      <c r="IS33" s="1097"/>
      <c r="IT33" s="1097"/>
      <c r="IU33" s="1097"/>
      <c r="IV33" s="1097"/>
    </row>
    <row r="34" spans="1:256" s="1098" customFormat="1" ht="12.75" customHeight="1">
      <c r="A34" s="2240" t="s">
        <v>1552</v>
      </c>
      <c r="B34" s="2240"/>
      <c r="C34" s="2240"/>
      <c r="D34" s="2240"/>
      <c r="E34" s="2240"/>
      <c r="F34" s="2240"/>
      <c r="G34" s="2240"/>
      <c r="H34" s="2240"/>
      <c r="I34" s="1097"/>
      <c r="J34" s="1097"/>
      <c r="K34" s="1097"/>
      <c r="L34" s="1097"/>
      <c r="M34" s="1097"/>
      <c r="N34" s="1097"/>
      <c r="O34" s="1097"/>
      <c r="P34" s="1097"/>
      <c r="Q34" s="1097"/>
      <c r="R34" s="1097"/>
      <c r="S34" s="1097"/>
      <c r="T34" s="1097"/>
      <c r="U34" s="1097"/>
      <c r="V34" s="1097"/>
      <c r="W34" s="1097"/>
      <c r="X34" s="1097"/>
      <c r="Y34" s="1097"/>
      <c r="Z34" s="1097"/>
      <c r="AA34" s="1097"/>
      <c r="AB34" s="1097"/>
      <c r="AC34" s="1097"/>
      <c r="AD34" s="1097"/>
      <c r="AE34" s="1097"/>
      <c r="AF34" s="1097"/>
      <c r="AG34" s="1097"/>
      <c r="AH34" s="1097"/>
      <c r="AI34" s="1097"/>
      <c r="AJ34" s="1097"/>
      <c r="AK34" s="1097"/>
      <c r="AL34" s="1097"/>
      <c r="AM34" s="1097"/>
      <c r="AN34" s="1097"/>
      <c r="AO34" s="1097"/>
      <c r="AP34" s="1097"/>
      <c r="AQ34" s="1097"/>
      <c r="AR34" s="1097"/>
      <c r="AS34" s="1097"/>
      <c r="AT34" s="1097"/>
      <c r="AU34" s="1097"/>
      <c r="AV34" s="1097"/>
      <c r="AW34" s="1097"/>
      <c r="AX34" s="1097"/>
      <c r="AY34" s="1097"/>
      <c r="AZ34" s="1097"/>
      <c r="BA34" s="1097"/>
      <c r="BB34" s="1097"/>
      <c r="BC34" s="1097"/>
      <c r="BD34" s="1097"/>
      <c r="BE34" s="1097"/>
      <c r="BF34" s="1097"/>
      <c r="BG34" s="1097"/>
      <c r="BH34" s="1097"/>
      <c r="BI34" s="1097"/>
      <c r="BJ34" s="1097"/>
      <c r="BK34" s="1097"/>
      <c r="BL34" s="1097"/>
      <c r="BM34" s="1097"/>
      <c r="BN34" s="1097"/>
      <c r="BO34" s="1097"/>
      <c r="BP34" s="1097"/>
      <c r="BQ34" s="1097"/>
      <c r="BR34" s="1097"/>
      <c r="BS34" s="1097"/>
      <c r="BT34" s="1097"/>
      <c r="BU34" s="1097"/>
      <c r="BV34" s="1097"/>
      <c r="BW34" s="1097"/>
      <c r="BX34" s="1097"/>
      <c r="BY34" s="1097"/>
      <c r="BZ34" s="1097"/>
      <c r="CA34" s="1097"/>
      <c r="CB34" s="1097"/>
      <c r="CC34" s="1097"/>
      <c r="CD34" s="1097"/>
      <c r="CE34" s="1097"/>
      <c r="CF34" s="1097"/>
      <c r="CG34" s="1097"/>
      <c r="CH34" s="1097"/>
      <c r="CI34" s="1097"/>
      <c r="CJ34" s="1097"/>
      <c r="CK34" s="1097"/>
      <c r="CL34" s="1097"/>
      <c r="CM34" s="1097"/>
      <c r="CN34" s="1097"/>
      <c r="CO34" s="1097"/>
      <c r="CP34" s="1097"/>
      <c r="CQ34" s="1097"/>
      <c r="CR34" s="1097"/>
      <c r="CS34" s="1097"/>
      <c r="CT34" s="1097"/>
      <c r="CU34" s="1097"/>
      <c r="CV34" s="1097"/>
      <c r="CW34" s="1097"/>
      <c r="CX34" s="1097"/>
      <c r="CY34" s="1097"/>
      <c r="CZ34" s="1097"/>
      <c r="DA34" s="1097"/>
      <c r="DB34" s="1097"/>
      <c r="DC34" s="1097"/>
      <c r="DD34" s="1097"/>
      <c r="DE34" s="1097"/>
      <c r="DF34" s="1097"/>
      <c r="DG34" s="1097"/>
      <c r="DH34" s="1097"/>
      <c r="DI34" s="1097"/>
      <c r="DJ34" s="1097"/>
      <c r="DK34" s="1097"/>
      <c r="DL34" s="1097"/>
      <c r="DM34" s="1097"/>
      <c r="DN34" s="1097"/>
      <c r="DO34" s="1097"/>
      <c r="DP34" s="1097"/>
      <c r="DQ34" s="1097"/>
      <c r="DR34" s="1097"/>
      <c r="DS34" s="1097"/>
      <c r="DT34" s="1097"/>
      <c r="DU34" s="1097"/>
      <c r="DV34" s="1097"/>
      <c r="DW34" s="1097"/>
      <c r="DX34" s="1097"/>
      <c r="DY34" s="1097"/>
      <c r="DZ34" s="1097"/>
      <c r="EA34" s="1097"/>
      <c r="EB34" s="1097"/>
      <c r="EC34" s="1097"/>
      <c r="ED34" s="1097"/>
      <c r="EE34" s="1097"/>
      <c r="EF34" s="1097"/>
      <c r="EG34" s="1097"/>
      <c r="EH34" s="1097"/>
      <c r="EI34" s="1097"/>
      <c r="EJ34" s="1097"/>
      <c r="EK34" s="1097"/>
      <c r="EL34" s="1097"/>
      <c r="EM34" s="1097"/>
      <c r="EN34" s="1097"/>
      <c r="EO34" s="1097"/>
      <c r="EP34" s="1097"/>
      <c r="EQ34" s="1097"/>
      <c r="ER34" s="1097"/>
      <c r="ES34" s="1097"/>
      <c r="ET34" s="1097"/>
      <c r="EU34" s="1097"/>
      <c r="EV34" s="1097"/>
      <c r="EW34" s="1097"/>
      <c r="EX34" s="1097"/>
      <c r="EY34" s="1097"/>
      <c r="EZ34" s="1097"/>
      <c r="FA34" s="1097"/>
      <c r="FB34" s="1097"/>
      <c r="FC34" s="1097"/>
      <c r="FD34" s="1097"/>
      <c r="FE34" s="1097"/>
      <c r="FF34" s="1097"/>
      <c r="FG34" s="1097"/>
      <c r="FH34" s="1097"/>
      <c r="FI34" s="1097"/>
      <c r="FJ34" s="1097"/>
      <c r="FK34" s="1097"/>
      <c r="FL34" s="1097"/>
      <c r="FM34" s="1097"/>
      <c r="FN34" s="1097"/>
      <c r="FO34" s="1097"/>
      <c r="FP34" s="1097"/>
      <c r="FQ34" s="1097"/>
      <c r="FR34" s="1097"/>
      <c r="FS34" s="1097"/>
      <c r="FT34" s="1097"/>
      <c r="FU34" s="1097"/>
      <c r="FV34" s="1097"/>
      <c r="FW34" s="1097"/>
      <c r="FX34" s="1097"/>
      <c r="FY34" s="1097"/>
      <c r="FZ34" s="1097"/>
      <c r="GA34" s="1097"/>
      <c r="GB34" s="1097"/>
      <c r="GC34" s="1097"/>
      <c r="GD34" s="1097"/>
      <c r="GE34" s="1097"/>
      <c r="GF34" s="1097"/>
      <c r="GG34" s="1097"/>
      <c r="GH34" s="1097"/>
      <c r="GI34" s="1097"/>
      <c r="GJ34" s="1097"/>
      <c r="GK34" s="1097"/>
      <c r="GL34" s="1097"/>
      <c r="GM34" s="1097"/>
      <c r="GN34" s="1097"/>
      <c r="GO34" s="1097"/>
      <c r="GP34" s="1097"/>
      <c r="GQ34" s="1097"/>
      <c r="GR34" s="1097"/>
      <c r="GS34" s="1097"/>
      <c r="GT34" s="1097"/>
      <c r="GU34" s="1097"/>
      <c r="GV34" s="1097"/>
      <c r="GW34" s="1097"/>
      <c r="GX34" s="1097"/>
      <c r="GY34" s="1097"/>
      <c r="GZ34" s="1097"/>
      <c r="HA34" s="1097"/>
      <c r="HB34" s="1097"/>
      <c r="HC34" s="1097"/>
      <c r="HD34" s="1097"/>
      <c r="HE34" s="1097"/>
      <c r="HF34" s="1097"/>
      <c r="HG34" s="1097"/>
      <c r="HH34" s="1097"/>
      <c r="HI34" s="1097"/>
      <c r="HJ34" s="1097"/>
      <c r="HK34" s="1097"/>
      <c r="HL34" s="1097"/>
      <c r="HM34" s="1097"/>
      <c r="HN34" s="1097"/>
      <c r="HO34" s="1097"/>
      <c r="HP34" s="1097"/>
      <c r="HQ34" s="1097"/>
      <c r="HR34" s="1097"/>
      <c r="HS34" s="1097"/>
      <c r="HT34" s="1097"/>
      <c r="HU34" s="1097"/>
      <c r="HV34" s="1097"/>
      <c r="HW34" s="1097"/>
      <c r="HX34" s="1097"/>
      <c r="HY34" s="1097"/>
      <c r="HZ34" s="1097"/>
      <c r="IA34" s="1097"/>
      <c r="IB34" s="1097"/>
      <c r="IC34" s="1097"/>
      <c r="ID34" s="1097"/>
      <c r="IE34" s="1097"/>
      <c r="IF34" s="1097"/>
      <c r="IG34" s="1097"/>
      <c r="IH34" s="1097"/>
      <c r="II34" s="1097"/>
      <c r="IJ34" s="1097"/>
      <c r="IK34" s="1097"/>
      <c r="IL34" s="1097"/>
      <c r="IM34" s="1097"/>
      <c r="IN34" s="1097"/>
      <c r="IO34" s="1097"/>
      <c r="IP34" s="1097"/>
      <c r="IQ34" s="1097"/>
      <c r="IR34" s="1097"/>
      <c r="IS34" s="1097"/>
      <c r="IT34" s="1097"/>
      <c r="IU34" s="1097"/>
      <c r="IV34" s="1097"/>
    </row>
    <row r="35" spans="1:256" ht="29.25" customHeight="1"/>
    <row r="36" spans="1:256" s="1098" customFormat="1" ht="12.75" customHeight="1">
      <c r="A36" s="2427" t="s">
        <v>716</v>
      </c>
      <c r="B36" s="2427"/>
      <c r="C36" s="2427"/>
      <c r="D36" s="2427"/>
      <c r="E36" s="2427"/>
      <c r="F36" s="2427"/>
      <c r="G36" s="2427"/>
      <c r="H36" s="2427"/>
      <c r="I36" s="1097"/>
      <c r="J36" s="1097"/>
      <c r="K36" s="1097"/>
      <c r="L36" s="1097"/>
      <c r="M36" s="1097"/>
      <c r="N36" s="1097"/>
      <c r="O36" s="1097"/>
      <c r="P36" s="1097"/>
      <c r="Q36" s="1097"/>
      <c r="R36" s="1097"/>
      <c r="S36" s="1097"/>
      <c r="T36" s="1097"/>
      <c r="U36" s="1097"/>
      <c r="V36" s="1097"/>
      <c r="W36" s="1097"/>
      <c r="X36" s="1097"/>
      <c r="Y36" s="1097"/>
      <c r="Z36" s="1097"/>
      <c r="AA36" s="1097"/>
      <c r="AB36" s="1097"/>
      <c r="AC36" s="1097"/>
      <c r="AD36" s="1097"/>
      <c r="AE36" s="1097"/>
      <c r="AF36" s="1097"/>
      <c r="AG36" s="1097"/>
      <c r="AH36" s="1097"/>
      <c r="AI36" s="1097"/>
      <c r="AJ36" s="1097"/>
      <c r="AK36" s="1097"/>
      <c r="AL36" s="1097"/>
      <c r="AM36" s="1097"/>
      <c r="AN36" s="1097"/>
      <c r="AO36" s="1097"/>
      <c r="AP36" s="1097"/>
      <c r="AQ36" s="1097"/>
      <c r="AR36" s="1097"/>
      <c r="AS36" s="1097"/>
      <c r="AT36" s="1097"/>
      <c r="AU36" s="1097"/>
      <c r="AV36" s="1097"/>
      <c r="AW36" s="1097"/>
      <c r="AX36" s="1097"/>
      <c r="AY36" s="1097"/>
      <c r="AZ36" s="1097"/>
      <c r="BA36" s="1097"/>
      <c r="BB36" s="1097"/>
      <c r="BC36" s="1097"/>
      <c r="BD36" s="1097"/>
      <c r="BE36" s="1097"/>
      <c r="BF36" s="1097"/>
      <c r="BG36" s="1097"/>
      <c r="BH36" s="1097"/>
      <c r="BI36" s="1097"/>
      <c r="BJ36" s="1097"/>
      <c r="BK36" s="1097"/>
      <c r="BL36" s="1097"/>
      <c r="BM36" s="1097"/>
      <c r="BN36" s="1097"/>
      <c r="BO36" s="1097"/>
      <c r="BP36" s="1097"/>
      <c r="BQ36" s="1097"/>
      <c r="BR36" s="1097"/>
      <c r="BS36" s="1097"/>
      <c r="BT36" s="1097"/>
      <c r="BU36" s="1097"/>
      <c r="BV36" s="1097"/>
      <c r="BW36" s="1097"/>
      <c r="BX36" s="1097"/>
      <c r="BY36" s="1097"/>
      <c r="BZ36" s="1097"/>
      <c r="CA36" s="1097"/>
      <c r="CB36" s="1097"/>
      <c r="CC36" s="1097"/>
      <c r="CD36" s="1097"/>
      <c r="CE36" s="1097"/>
      <c r="CF36" s="1097"/>
      <c r="CG36" s="1097"/>
      <c r="CH36" s="1097"/>
      <c r="CI36" s="1097"/>
      <c r="CJ36" s="1097"/>
      <c r="CK36" s="1097"/>
      <c r="CL36" s="1097"/>
      <c r="CM36" s="1097"/>
      <c r="CN36" s="1097"/>
      <c r="CO36" s="1097"/>
      <c r="CP36" s="1097"/>
      <c r="CQ36" s="1097"/>
      <c r="CR36" s="1097"/>
      <c r="CS36" s="1097"/>
      <c r="CT36" s="1097"/>
      <c r="CU36" s="1097"/>
      <c r="CV36" s="1097"/>
      <c r="CW36" s="1097"/>
      <c r="CX36" s="1097"/>
      <c r="CY36" s="1097"/>
      <c r="CZ36" s="1097"/>
      <c r="DA36" s="1097"/>
      <c r="DB36" s="1097"/>
      <c r="DC36" s="1097"/>
      <c r="DD36" s="1097"/>
      <c r="DE36" s="1097"/>
      <c r="DF36" s="1097"/>
      <c r="DG36" s="1097"/>
      <c r="DH36" s="1097"/>
      <c r="DI36" s="1097"/>
      <c r="DJ36" s="1097"/>
      <c r="DK36" s="1097"/>
      <c r="DL36" s="1097"/>
      <c r="DM36" s="1097"/>
      <c r="DN36" s="1097"/>
      <c r="DO36" s="1097"/>
      <c r="DP36" s="1097"/>
      <c r="DQ36" s="1097"/>
      <c r="DR36" s="1097"/>
      <c r="DS36" s="1097"/>
      <c r="DT36" s="1097"/>
      <c r="DU36" s="1097"/>
      <c r="DV36" s="1097"/>
      <c r="DW36" s="1097"/>
      <c r="DX36" s="1097"/>
      <c r="DY36" s="1097"/>
      <c r="DZ36" s="1097"/>
      <c r="EA36" s="1097"/>
      <c r="EB36" s="1097"/>
      <c r="EC36" s="1097"/>
      <c r="ED36" s="1097"/>
      <c r="EE36" s="1097"/>
      <c r="EF36" s="1097"/>
      <c r="EG36" s="1097"/>
      <c r="EH36" s="1097"/>
      <c r="EI36" s="1097"/>
      <c r="EJ36" s="1097"/>
      <c r="EK36" s="1097"/>
      <c r="EL36" s="1097"/>
      <c r="EM36" s="1097"/>
      <c r="EN36" s="1097"/>
      <c r="EO36" s="1097"/>
      <c r="EP36" s="1097"/>
      <c r="EQ36" s="1097"/>
      <c r="ER36" s="1097"/>
      <c r="ES36" s="1097"/>
      <c r="ET36" s="1097"/>
      <c r="EU36" s="1097"/>
      <c r="EV36" s="1097"/>
      <c r="EW36" s="1097"/>
      <c r="EX36" s="1097"/>
      <c r="EY36" s="1097"/>
      <c r="EZ36" s="1097"/>
      <c r="FA36" s="1097"/>
      <c r="FB36" s="1097"/>
      <c r="FC36" s="1097"/>
      <c r="FD36" s="1097"/>
      <c r="FE36" s="1097"/>
      <c r="FF36" s="1097"/>
      <c r="FG36" s="1097"/>
      <c r="FH36" s="1097"/>
      <c r="FI36" s="1097"/>
      <c r="FJ36" s="1097"/>
      <c r="FK36" s="1097"/>
      <c r="FL36" s="1097"/>
      <c r="FM36" s="1097"/>
      <c r="FN36" s="1097"/>
      <c r="FO36" s="1097"/>
      <c r="FP36" s="1097"/>
      <c r="FQ36" s="1097"/>
      <c r="FR36" s="1097"/>
      <c r="FS36" s="1097"/>
      <c r="FT36" s="1097"/>
      <c r="FU36" s="1097"/>
      <c r="FV36" s="1097"/>
      <c r="FW36" s="1097"/>
      <c r="FX36" s="1097"/>
      <c r="FY36" s="1097"/>
      <c r="FZ36" s="1097"/>
      <c r="GA36" s="1097"/>
      <c r="GB36" s="1097"/>
      <c r="GC36" s="1097"/>
      <c r="GD36" s="1097"/>
      <c r="GE36" s="1097"/>
      <c r="GF36" s="1097"/>
      <c r="GG36" s="1097"/>
      <c r="GH36" s="1097"/>
      <c r="GI36" s="1097"/>
      <c r="GJ36" s="1097"/>
      <c r="GK36" s="1097"/>
      <c r="GL36" s="1097"/>
      <c r="GM36" s="1097"/>
      <c r="GN36" s="1097"/>
      <c r="GO36" s="1097"/>
      <c r="GP36" s="1097"/>
      <c r="GQ36" s="1097"/>
      <c r="GR36" s="1097"/>
      <c r="GS36" s="1097"/>
      <c r="GT36" s="1097"/>
      <c r="GU36" s="1097"/>
      <c r="GV36" s="1097"/>
      <c r="GW36" s="1097"/>
      <c r="GX36" s="1097"/>
      <c r="GY36" s="1097"/>
      <c r="GZ36" s="1097"/>
      <c r="HA36" s="1097"/>
      <c r="HB36" s="1097"/>
      <c r="HC36" s="1097"/>
      <c r="HD36" s="1097"/>
      <c r="HE36" s="1097"/>
      <c r="HF36" s="1097"/>
      <c r="HG36" s="1097"/>
      <c r="HH36" s="1097"/>
      <c r="HI36" s="1097"/>
      <c r="HJ36" s="1097"/>
      <c r="HK36" s="1097"/>
      <c r="HL36" s="1097"/>
      <c r="HM36" s="1097"/>
      <c r="HN36" s="1097"/>
      <c r="HO36" s="1097"/>
      <c r="HP36" s="1097"/>
      <c r="HQ36" s="1097"/>
      <c r="HR36" s="1097"/>
      <c r="HS36" s="1097"/>
      <c r="HT36" s="1097"/>
      <c r="HU36" s="1097"/>
      <c r="HV36" s="1097"/>
      <c r="HW36" s="1097"/>
      <c r="HX36" s="1097"/>
      <c r="HY36" s="1097"/>
      <c r="HZ36" s="1097"/>
      <c r="IA36" s="1097"/>
      <c r="IB36" s="1097"/>
      <c r="IC36" s="1097"/>
      <c r="ID36" s="1097"/>
      <c r="IE36" s="1097"/>
      <c r="IF36" s="1097"/>
      <c r="IG36" s="1097"/>
      <c r="IH36" s="1097"/>
      <c r="II36" s="1097"/>
      <c r="IJ36" s="1097"/>
      <c r="IK36" s="1097"/>
      <c r="IL36" s="1097"/>
      <c r="IM36" s="1097"/>
      <c r="IN36" s="1097"/>
      <c r="IO36" s="1097"/>
      <c r="IP36" s="1097"/>
      <c r="IQ36" s="1097"/>
      <c r="IR36" s="1097"/>
      <c r="IS36" s="1097"/>
      <c r="IT36" s="1097"/>
      <c r="IU36" s="1097"/>
      <c r="IV36" s="1097"/>
    </row>
    <row r="37" spans="1:256" s="1098" customFormat="1" ht="12.75" customHeight="1">
      <c r="A37" s="2240" t="s">
        <v>1553</v>
      </c>
      <c r="B37" s="2240"/>
      <c r="C37" s="2240"/>
      <c r="D37" s="2240"/>
      <c r="E37" s="2240"/>
      <c r="F37" s="2240"/>
      <c r="G37" s="2240"/>
      <c r="H37" s="2240"/>
      <c r="I37" s="1097"/>
      <c r="J37" s="1097"/>
      <c r="K37" s="1097"/>
      <c r="L37" s="1097"/>
      <c r="M37" s="1097"/>
      <c r="N37" s="1097"/>
      <c r="O37" s="1097"/>
      <c r="P37" s="1097"/>
      <c r="Q37" s="1097"/>
      <c r="R37" s="1097"/>
      <c r="S37" s="1097"/>
      <c r="T37" s="1097"/>
      <c r="U37" s="1097"/>
      <c r="V37" s="1097"/>
      <c r="W37" s="1097"/>
      <c r="X37" s="1097"/>
      <c r="Y37" s="1097"/>
      <c r="Z37" s="1097"/>
      <c r="AA37" s="1097"/>
      <c r="AB37" s="1097"/>
      <c r="AC37" s="1097"/>
      <c r="AD37" s="1097"/>
      <c r="AE37" s="1097"/>
      <c r="AF37" s="1097"/>
      <c r="AG37" s="1097"/>
      <c r="AH37" s="1097"/>
      <c r="AI37" s="1097"/>
      <c r="AJ37" s="1097"/>
      <c r="AK37" s="1097"/>
      <c r="AL37" s="1097"/>
      <c r="AM37" s="1097"/>
      <c r="AN37" s="1097"/>
      <c r="AO37" s="1097"/>
      <c r="AP37" s="1097"/>
      <c r="AQ37" s="1097"/>
      <c r="AR37" s="1097"/>
      <c r="AS37" s="1097"/>
      <c r="AT37" s="1097"/>
      <c r="AU37" s="1097"/>
      <c r="AV37" s="1097"/>
      <c r="AW37" s="1097"/>
      <c r="AX37" s="1097"/>
      <c r="AY37" s="1097"/>
      <c r="AZ37" s="1097"/>
      <c r="BA37" s="1097"/>
      <c r="BB37" s="1097"/>
      <c r="BC37" s="1097"/>
      <c r="BD37" s="1097"/>
      <c r="BE37" s="1097"/>
      <c r="BF37" s="1097"/>
      <c r="BG37" s="1097"/>
      <c r="BH37" s="1097"/>
      <c r="BI37" s="1097"/>
      <c r="BJ37" s="1097"/>
      <c r="BK37" s="1097"/>
      <c r="BL37" s="1097"/>
      <c r="BM37" s="1097"/>
      <c r="BN37" s="1097"/>
      <c r="BO37" s="1097"/>
      <c r="BP37" s="1097"/>
      <c r="BQ37" s="1097"/>
      <c r="BR37" s="1097"/>
      <c r="BS37" s="1097"/>
      <c r="BT37" s="1097"/>
      <c r="BU37" s="1097"/>
      <c r="BV37" s="1097"/>
      <c r="BW37" s="1097"/>
      <c r="BX37" s="1097"/>
      <c r="BY37" s="1097"/>
      <c r="BZ37" s="1097"/>
      <c r="CA37" s="1097"/>
      <c r="CB37" s="1097"/>
      <c r="CC37" s="1097"/>
      <c r="CD37" s="1097"/>
      <c r="CE37" s="1097"/>
      <c r="CF37" s="1097"/>
      <c r="CG37" s="1097"/>
      <c r="CH37" s="1097"/>
      <c r="CI37" s="1097"/>
      <c r="CJ37" s="1097"/>
      <c r="CK37" s="1097"/>
      <c r="CL37" s="1097"/>
      <c r="CM37" s="1097"/>
      <c r="CN37" s="1097"/>
      <c r="CO37" s="1097"/>
      <c r="CP37" s="1097"/>
      <c r="CQ37" s="1097"/>
      <c r="CR37" s="1097"/>
      <c r="CS37" s="1097"/>
      <c r="CT37" s="1097"/>
      <c r="CU37" s="1097"/>
      <c r="CV37" s="1097"/>
      <c r="CW37" s="1097"/>
      <c r="CX37" s="1097"/>
      <c r="CY37" s="1097"/>
      <c r="CZ37" s="1097"/>
      <c r="DA37" s="1097"/>
      <c r="DB37" s="1097"/>
      <c r="DC37" s="1097"/>
      <c r="DD37" s="1097"/>
      <c r="DE37" s="1097"/>
      <c r="DF37" s="1097"/>
      <c r="DG37" s="1097"/>
      <c r="DH37" s="1097"/>
      <c r="DI37" s="1097"/>
      <c r="DJ37" s="1097"/>
      <c r="DK37" s="1097"/>
      <c r="DL37" s="1097"/>
      <c r="DM37" s="1097"/>
      <c r="DN37" s="1097"/>
      <c r="DO37" s="1097"/>
      <c r="DP37" s="1097"/>
      <c r="DQ37" s="1097"/>
      <c r="DR37" s="1097"/>
      <c r="DS37" s="1097"/>
      <c r="DT37" s="1097"/>
      <c r="DU37" s="1097"/>
      <c r="DV37" s="1097"/>
      <c r="DW37" s="1097"/>
      <c r="DX37" s="1097"/>
      <c r="DY37" s="1097"/>
      <c r="DZ37" s="1097"/>
      <c r="EA37" s="1097"/>
      <c r="EB37" s="1097"/>
      <c r="EC37" s="1097"/>
      <c r="ED37" s="1097"/>
      <c r="EE37" s="1097"/>
      <c r="EF37" s="1097"/>
      <c r="EG37" s="1097"/>
      <c r="EH37" s="1097"/>
      <c r="EI37" s="1097"/>
      <c r="EJ37" s="1097"/>
      <c r="EK37" s="1097"/>
      <c r="EL37" s="1097"/>
      <c r="EM37" s="1097"/>
      <c r="EN37" s="1097"/>
      <c r="EO37" s="1097"/>
      <c r="EP37" s="1097"/>
      <c r="EQ37" s="1097"/>
      <c r="ER37" s="1097"/>
      <c r="ES37" s="1097"/>
      <c r="ET37" s="1097"/>
      <c r="EU37" s="1097"/>
      <c r="EV37" s="1097"/>
      <c r="EW37" s="1097"/>
      <c r="EX37" s="1097"/>
      <c r="EY37" s="1097"/>
      <c r="EZ37" s="1097"/>
      <c r="FA37" s="1097"/>
      <c r="FB37" s="1097"/>
      <c r="FC37" s="1097"/>
      <c r="FD37" s="1097"/>
      <c r="FE37" s="1097"/>
      <c r="FF37" s="1097"/>
      <c r="FG37" s="1097"/>
      <c r="FH37" s="1097"/>
      <c r="FI37" s="1097"/>
      <c r="FJ37" s="1097"/>
      <c r="FK37" s="1097"/>
      <c r="FL37" s="1097"/>
      <c r="FM37" s="1097"/>
      <c r="FN37" s="1097"/>
      <c r="FO37" s="1097"/>
      <c r="FP37" s="1097"/>
      <c r="FQ37" s="1097"/>
      <c r="FR37" s="1097"/>
      <c r="FS37" s="1097"/>
      <c r="FT37" s="1097"/>
      <c r="FU37" s="1097"/>
      <c r="FV37" s="1097"/>
      <c r="FW37" s="1097"/>
      <c r="FX37" s="1097"/>
      <c r="FY37" s="1097"/>
      <c r="FZ37" s="1097"/>
      <c r="GA37" s="1097"/>
      <c r="GB37" s="1097"/>
      <c r="GC37" s="1097"/>
      <c r="GD37" s="1097"/>
      <c r="GE37" s="1097"/>
      <c r="GF37" s="1097"/>
      <c r="GG37" s="1097"/>
      <c r="GH37" s="1097"/>
      <c r="GI37" s="1097"/>
      <c r="GJ37" s="1097"/>
      <c r="GK37" s="1097"/>
      <c r="GL37" s="1097"/>
      <c r="GM37" s="1097"/>
      <c r="GN37" s="1097"/>
      <c r="GO37" s="1097"/>
      <c r="GP37" s="1097"/>
      <c r="GQ37" s="1097"/>
      <c r="GR37" s="1097"/>
      <c r="GS37" s="1097"/>
      <c r="GT37" s="1097"/>
      <c r="GU37" s="1097"/>
      <c r="GV37" s="1097"/>
      <c r="GW37" s="1097"/>
      <c r="GX37" s="1097"/>
      <c r="GY37" s="1097"/>
      <c r="GZ37" s="1097"/>
      <c r="HA37" s="1097"/>
      <c r="HB37" s="1097"/>
      <c r="HC37" s="1097"/>
      <c r="HD37" s="1097"/>
      <c r="HE37" s="1097"/>
      <c r="HF37" s="1097"/>
      <c r="HG37" s="1097"/>
      <c r="HH37" s="1097"/>
      <c r="HI37" s="1097"/>
      <c r="HJ37" s="1097"/>
      <c r="HK37" s="1097"/>
      <c r="HL37" s="1097"/>
      <c r="HM37" s="1097"/>
      <c r="HN37" s="1097"/>
      <c r="HO37" s="1097"/>
      <c r="HP37" s="1097"/>
      <c r="HQ37" s="1097"/>
      <c r="HR37" s="1097"/>
      <c r="HS37" s="1097"/>
      <c r="HT37" s="1097"/>
      <c r="HU37" s="1097"/>
      <c r="HV37" s="1097"/>
      <c r="HW37" s="1097"/>
      <c r="HX37" s="1097"/>
      <c r="HY37" s="1097"/>
      <c r="HZ37" s="1097"/>
      <c r="IA37" s="1097"/>
      <c r="IB37" s="1097"/>
      <c r="IC37" s="1097"/>
      <c r="ID37" s="1097"/>
      <c r="IE37" s="1097"/>
      <c r="IF37" s="1097"/>
      <c r="IG37" s="1097"/>
      <c r="IH37" s="1097"/>
      <c r="II37" s="1097"/>
      <c r="IJ37" s="1097"/>
      <c r="IK37" s="1097"/>
      <c r="IL37" s="1097"/>
      <c r="IM37" s="1097"/>
      <c r="IN37" s="1097"/>
      <c r="IO37" s="1097"/>
      <c r="IP37" s="1097"/>
      <c r="IQ37" s="1097"/>
      <c r="IR37" s="1097"/>
      <c r="IS37" s="1097"/>
      <c r="IT37" s="1097"/>
      <c r="IU37" s="1097"/>
      <c r="IV37" s="1097"/>
    </row>
    <row r="38" spans="1:256" ht="29.25" customHeight="1"/>
    <row r="39" spans="1:256" ht="29.25" customHeight="1"/>
    <row r="40" spans="1:256" s="1097" customFormat="1" ht="12.75" customHeight="1">
      <c r="A40" s="2244" t="s">
        <v>318</v>
      </c>
      <c r="B40" s="2244"/>
      <c r="C40" s="2244"/>
      <c r="D40" s="2244"/>
      <c r="E40" s="2244"/>
      <c r="F40" s="2244"/>
      <c r="G40" s="2244"/>
      <c r="H40" s="2244"/>
    </row>
    <row r="41" spans="1:256" ht="29.25" customHeight="1"/>
    <row r="42" spans="1:256" s="1097" customFormat="1" ht="25.5" customHeight="1">
      <c r="A42" s="2387" t="s">
        <v>1979</v>
      </c>
      <c r="B42" s="2387"/>
      <c r="C42" s="2387"/>
      <c r="D42" s="2387"/>
      <c r="E42" s="2387"/>
      <c r="F42" s="2387"/>
      <c r="G42" s="2387"/>
      <c r="H42" s="2387"/>
    </row>
    <row r="43" spans="1:256" ht="29.25" customHeight="1"/>
    <row r="44" spans="1:256" s="1097" customFormat="1" ht="25.5" customHeight="1">
      <c r="A44" s="2562" t="s">
        <v>1980</v>
      </c>
      <c r="B44" s="2562"/>
      <c r="C44" s="2562"/>
      <c r="D44" s="2562"/>
      <c r="E44" s="2562"/>
      <c r="F44" s="2562"/>
      <c r="G44" s="2562"/>
      <c r="H44" s="2562"/>
    </row>
    <row r="45" spans="1:256" s="1106" customFormat="1" ht="38.25" customHeight="1">
      <c r="A45" s="2563" t="s">
        <v>1981</v>
      </c>
      <c r="B45" s="2394"/>
      <c r="C45" s="2394"/>
      <c r="D45" s="2394"/>
      <c r="E45" s="2394"/>
      <c r="F45" s="2394"/>
      <c r="G45" s="2394"/>
      <c r="H45" s="2394"/>
    </row>
    <row r="46" spans="1:256" s="1106" customFormat="1" ht="25.5" customHeight="1">
      <c r="A46" s="2563" t="s">
        <v>1982</v>
      </c>
      <c r="B46" s="2394"/>
      <c r="C46" s="2394"/>
      <c r="D46" s="2394"/>
      <c r="E46" s="2394"/>
      <c r="F46" s="2394"/>
      <c r="G46" s="2394"/>
      <c r="H46" s="2394"/>
    </row>
    <row r="47" spans="1:256" s="1106" customFormat="1" ht="76.5" customHeight="1">
      <c r="A47" s="2563" t="s">
        <v>1983</v>
      </c>
      <c r="B47" s="2394"/>
      <c r="C47" s="2394"/>
      <c r="D47" s="2394"/>
      <c r="E47" s="2394"/>
      <c r="F47" s="2394"/>
      <c r="G47" s="2394"/>
      <c r="H47" s="2394"/>
    </row>
    <row r="48" spans="1:256" s="1106" customFormat="1" ht="51" customHeight="1">
      <c r="A48" s="2556" t="s">
        <v>1984</v>
      </c>
      <c r="B48" s="2557"/>
      <c r="C48" s="2557"/>
      <c r="D48" s="2557"/>
      <c r="E48" s="2557"/>
      <c r="F48" s="2557"/>
      <c r="G48" s="2557"/>
      <c r="H48" s="2557"/>
    </row>
    <row r="49" spans="1:8" ht="29.25" customHeight="1"/>
    <row r="50" spans="1:8" s="1097" customFormat="1" ht="12.75" customHeight="1">
      <c r="A50" s="2558" t="s">
        <v>442</v>
      </c>
      <c r="B50" s="2558"/>
      <c r="C50" s="2558"/>
      <c r="D50" s="2558"/>
      <c r="E50" s="2558"/>
      <c r="F50" s="2558"/>
      <c r="G50" s="2558"/>
      <c r="H50" s="2558"/>
    </row>
    <row r="51" spans="1:8" s="1097" customFormat="1" ht="51" customHeight="1">
      <c r="A51" s="2554" t="s">
        <v>1985</v>
      </c>
      <c r="B51" s="2554"/>
      <c r="C51" s="2554"/>
      <c r="D51" s="2554"/>
      <c r="E51" s="2554"/>
      <c r="F51" s="2554"/>
      <c r="G51" s="2554"/>
      <c r="H51" s="2554"/>
    </row>
    <row r="52" spans="1:8" s="1106" customFormat="1" ht="51" customHeight="1">
      <c r="A52" s="2559" t="s">
        <v>1986</v>
      </c>
      <c r="B52" s="2559"/>
      <c r="C52" s="2559"/>
      <c r="D52" s="2559"/>
      <c r="E52" s="2559"/>
      <c r="F52" s="2559"/>
      <c r="G52" s="2559"/>
      <c r="H52" s="2559"/>
    </row>
    <row r="53" spans="1:8" ht="29.25" customHeight="1"/>
    <row r="54" spans="1:8" s="1093" customFormat="1">
      <c r="A54" s="1113" t="s">
        <v>1294</v>
      </c>
      <c r="B54" s="1112"/>
      <c r="C54" s="1112"/>
      <c r="D54" s="1112"/>
      <c r="E54" s="1112"/>
      <c r="F54" s="1112"/>
      <c r="G54" s="1112"/>
      <c r="H54" s="1112"/>
    </row>
    <row r="55" spans="1:8" s="1093" customFormat="1" ht="25.5" customHeight="1">
      <c r="A55" s="2560" t="s">
        <v>1987</v>
      </c>
      <c r="B55" s="2366"/>
      <c r="C55" s="2366"/>
      <c r="D55" s="2366"/>
      <c r="E55" s="2366"/>
      <c r="F55" s="2366"/>
      <c r="G55" s="2366"/>
      <c r="H55" s="2366"/>
    </row>
    <row r="56" spans="1:8" s="1093" customFormat="1" ht="12.75" customHeight="1">
      <c r="A56" s="2560" t="s">
        <v>1988</v>
      </c>
      <c r="B56" s="2366"/>
      <c r="C56" s="2366"/>
      <c r="D56" s="2366"/>
      <c r="E56" s="2366"/>
      <c r="F56" s="2366"/>
      <c r="G56" s="2366"/>
      <c r="H56" s="2366"/>
    </row>
    <row r="57" spans="1:8" ht="29.25" customHeight="1"/>
    <row r="58" spans="1:8" ht="29.25" customHeight="1"/>
    <row r="59" spans="1:8" s="1097" customFormat="1">
      <c r="A59" s="2561" t="s">
        <v>1818</v>
      </c>
      <c r="B59" s="2561"/>
      <c r="C59" s="2561"/>
      <c r="D59" s="2561"/>
      <c r="E59" s="2561"/>
      <c r="F59" s="2561"/>
      <c r="G59" s="2561"/>
      <c r="H59" s="2561"/>
    </row>
    <row r="60" spans="1:8" s="1097" customFormat="1" ht="12.75" customHeight="1">
      <c r="A60" s="2554" t="s">
        <v>1989</v>
      </c>
      <c r="B60" s="2554"/>
      <c r="C60" s="2554"/>
      <c r="D60" s="2554"/>
      <c r="E60" s="2554"/>
      <c r="F60" s="2554"/>
      <c r="G60" s="2554"/>
      <c r="H60" s="2554"/>
    </row>
    <row r="61" spans="1:8" ht="29.25" customHeight="1"/>
    <row r="62" spans="1:8" s="1097" customFormat="1">
      <c r="A62" s="2561" t="s">
        <v>443</v>
      </c>
      <c r="B62" s="2561"/>
      <c r="C62" s="2561"/>
      <c r="D62" s="2561"/>
      <c r="E62" s="2561"/>
      <c r="F62" s="2561"/>
      <c r="G62" s="2561"/>
      <c r="H62" s="2561"/>
    </row>
    <row r="63" spans="1:8" s="1097" customFormat="1" ht="25.5" customHeight="1">
      <c r="A63" s="2554" t="s">
        <v>1990</v>
      </c>
      <c r="B63" s="2554"/>
      <c r="C63" s="2554"/>
      <c r="D63" s="2554"/>
      <c r="E63" s="2554"/>
      <c r="F63" s="2554"/>
      <c r="G63" s="2554"/>
      <c r="H63" s="2554"/>
    </row>
    <row r="64" spans="1:8" s="1114" customFormat="1" ht="25.5" customHeight="1">
      <c r="A64" s="2554" t="s">
        <v>1991</v>
      </c>
      <c r="B64" s="2554"/>
      <c r="C64" s="2554"/>
      <c r="D64" s="2554"/>
      <c r="E64" s="2554"/>
      <c r="F64" s="2554"/>
      <c r="G64" s="2554"/>
      <c r="H64" s="2554"/>
    </row>
    <row r="65" spans="1:8" ht="29.25" customHeight="1"/>
    <row r="66" spans="1:8" s="1093" customFormat="1" ht="12.75" customHeight="1">
      <c r="A66" s="2555" t="s">
        <v>1992</v>
      </c>
      <c r="B66" s="2555"/>
      <c r="C66" s="2555"/>
      <c r="D66" s="2555"/>
      <c r="E66" s="2555"/>
      <c r="F66" s="2555"/>
      <c r="G66" s="2555"/>
      <c r="H66" s="2555"/>
    </row>
  </sheetData>
  <sheetProtection algorithmName="SHA-512" hashValue="+Y8XRuQ7eXh6eR+tyt21cvBXLqdBxo7AajPc5X3Nxmc69CfpgzqwkZb59Cnx3Spw/8/GORdasteg7Ha1pvP69g==" saltValue="wxMAu5CiuO8ylkJKOCYUAw==" spinCount="100000" sheet="1" objects="1" scenarios="1"/>
  <mergeCells count="40">
    <mergeCell ref="A28:H28"/>
    <mergeCell ref="A7:H7"/>
    <mergeCell ref="A10:H10"/>
    <mergeCell ref="D1:E1"/>
    <mergeCell ref="A3:H3"/>
    <mergeCell ref="A5:H5"/>
    <mergeCell ref="A6:H6"/>
    <mergeCell ref="A47:H47"/>
    <mergeCell ref="A12:H12"/>
    <mergeCell ref="A14:H14"/>
    <mergeCell ref="A16:H16"/>
    <mergeCell ref="A18:H18"/>
    <mergeCell ref="A20:H20"/>
    <mergeCell ref="A22:H22"/>
    <mergeCell ref="A36:H36"/>
    <mergeCell ref="A37:H37"/>
    <mergeCell ref="A23:H23"/>
    <mergeCell ref="A25:H25"/>
    <mergeCell ref="A29:H29"/>
    <mergeCell ref="A32:H32"/>
    <mergeCell ref="A33:H33"/>
    <mergeCell ref="A34:H34"/>
    <mergeCell ref="A27:H27"/>
    <mergeCell ref="A40:H40"/>
    <mergeCell ref="A42:H42"/>
    <mergeCell ref="A44:H44"/>
    <mergeCell ref="A45:H45"/>
    <mergeCell ref="A46:H46"/>
    <mergeCell ref="A64:H64"/>
    <mergeCell ref="A66:H66"/>
    <mergeCell ref="A48:H48"/>
    <mergeCell ref="A50:H50"/>
    <mergeCell ref="A51:H51"/>
    <mergeCell ref="A52:H52"/>
    <mergeCell ref="A55:H55"/>
    <mergeCell ref="A56:H56"/>
    <mergeCell ref="A59:H59"/>
    <mergeCell ref="A60:H60"/>
    <mergeCell ref="A62:H62"/>
    <mergeCell ref="A63:H63"/>
  </mergeCell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48" firstPageNumber="0" orientation="portrait" r:id="rId1"/>
  <headerFooter alignWithMargins="0">
    <oddFooter>&amp;LRSU 2020 - Présentation au CTP&amp;R&amp;P/&amp;N
&amp;A</oddFooter>
  </headerFooter>
</worksheet>
</file>

<file path=xl/worksheets/sheet46.xml><?xml version="1.0" encoding="utf-8"?>
<worksheet xmlns="http://schemas.openxmlformats.org/spreadsheetml/2006/main" xmlns:r="http://schemas.openxmlformats.org/officeDocument/2006/relationships">
  <sheetPr codeName="Feuil38">
    <pageSetUpPr fitToPage="1"/>
  </sheetPr>
  <dimension ref="A1:I27"/>
  <sheetViews>
    <sheetView showGridLines="0" workbookViewId="0"/>
  </sheetViews>
  <sheetFormatPr baseColWidth="10" defaultColWidth="10.85546875" defaultRowHeight="12.75" customHeight="1"/>
  <cols>
    <col min="1" max="1" width="44" customWidth="1"/>
    <col min="2" max="5" width="9.85546875" customWidth="1"/>
    <col min="6" max="6" width="9.7109375" customWidth="1"/>
    <col min="7" max="8" width="9.85546875" customWidth="1"/>
    <col min="9" max="9" width="10.140625" customWidth="1"/>
    <col min="10" max="10" width="10.85546875" customWidth="1"/>
  </cols>
  <sheetData>
    <row r="1" spans="1:9" ht="17.100000000000001" customHeight="1">
      <c r="D1" s="2245" t="s">
        <v>958</v>
      </c>
      <c r="E1" s="2245"/>
      <c r="F1" s="2245"/>
    </row>
    <row r="2" spans="1:9" ht="13.5" thickBot="1"/>
    <row r="3" spans="1:9" ht="13.5" thickBot="1">
      <c r="A3" s="2568" t="s">
        <v>2031</v>
      </c>
      <c r="B3" s="2568"/>
      <c r="C3" s="2568"/>
      <c r="D3" s="2568"/>
      <c r="E3" s="2568"/>
      <c r="F3" s="2568"/>
      <c r="G3" s="2568"/>
      <c r="H3" s="2568"/>
      <c r="I3" s="2568"/>
    </row>
    <row r="5" spans="1:9" ht="30" customHeight="1">
      <c r="A5" s="2585" t="s">
        <v>2358</v>
      </c>
      <c r="B5" s="2379"/>
      <c r="C5" s="2379"/>
      <c r="D5" s="2379"/>
      <c r="E5" s="2379"/>
      <c r="F5" s="2379"/>
      <c r="G5" s="2379"/>
      <c r="H5" s="2379"/>
      <c r="I5" s="2379"/>
    </row>
    <row r="6" spans="1:9">
      <c r="A6" s="901" t="s">
        <v>9</v>
      </c>
      <c r="B6" s="902"/>
      <c r="C6" s="902"/>
      <c r="D6" s="902"/>
      <c r="E6" s="902"/>
      <c r="F6" s="902"/>
      <c r="G6" s="902"/>
      <c r="H6" s="903"/>
      <c r="I6" s="898"/>
    </row>
    <row r="8" spans="1:9" ht="25.5" customHeight="1">
      <c r="A8" s="2569" t="s">
        <v>2282</v>
      </c>
      <c r="B8" s="2570"/>
      <c r="C8" s="2570"/>
      <c r="D8" s="2570"/>
      <c r="E8" s="2570"/>
      <c r="F8" s="2570"/>
      <c r="G8" s="2570"/>
      <c r="H8" s="2571"/>
      <c r="I8" s="619" t="s">
        <v>1124</v>
      </c>
    </row>
    <row r="12" spans="1:9">
      <c r="A12" s="188" t="s">
        <v>444</v>
      </c>
      <c r="B12" s="1219">
        <v>1</v>
      </c>
      <c r="C12" s="1219">
        <v>2</v>
      </c>
      <c r="D12" s="1219">
        <v>1</v>
      </c>
      <c r="E12" s="1219">
        <v>2</v>
      </c>
      <c r="F12" s="1219" t="s">
        <v>1307</v>
      </c>
    </row>
    <row r="13" spans="1:9">
      <c r="A13" s="149" t="s">
        <v>10</v>
      </c>
      <c r="B13" s="1219">
        <v>1</v>
      </c>
      <c r="C13" s="1219">
        <v>1</v>
      </c>
      <c r="D13" s="1219">
        <v>2</v>
      </c>
      <c r="E13" s="1219">
        <v>2</v>
      </c>
      <c r="F13" s="1219" t="s">
        <v>262</v>
      </c>
    </row>
    <row r="14" spans="1:9" ht="12.75" customHeight="1">
      <c r="B14" s="2576" t="s">
        <v>445</v>
      </c>
      <c r="C14" s="2577"/>
      <c r="D14" s="2580" t="s">
        <v>1136</v>
      </c>
      <c r="E14" s="2581"/>
      <c r="F14" s="149"/>
    </row>
    <row r="15" spans="1:9" ht="12.75" customHeight="1">
      <c r="B15" s="2578"/>
      <c r="C15" s="2579"/>
      <c r="D15" s="2582"/>
      <c r="E15" s="2583"/>
      <c r="F15" s="149"/>
    </row>
    <row r="16" spans="1:9">
      <c r="A16" s="191" t="s">
        <v>446</v>
      </c>
      <c r="B16" s="192" t="s">
        <v>707</v>
      </c>
      <c r="C16" s="193" t="s">
        <v>708</v>
      </c>
      <c r="D16" s="194" t="s">
        <v>707</v>
      </c>
      <c r="E16" s="193" t="s">
        <v>708</v>
      </c>
      <c r="F16" s="149"/>
    </row>
    <row r="17" spans="1:6">
      <c r="A17" s="190" t="s">
        <v>1852</v>
      </c>
      <c r="B17" s="620">
        <v>2</v>
      </c>
      <c r="C17" s="620">
        <v>8</v>
      </c>
      <c r="D17" s="621">
        <v>3</v>
      </c>
      <c r="E17" s="621">
        <v>1</v>
      </c>
      <c r="F17" s="1211">
        <v>1</v>
      </c>
    </row>
    <row r="18" spans="1:6">
      <c r="A18" s="190" t="s">
        <v>447</v>
      </c>
      <c r="B18" s="620">
        <v>19</v>
      </c>
      <c r="C18" s="620">
        <v>10</v>
      </c>
      <c r="D18" s="620">
        <v>1</v>
      </c>
      <c r="E18" s="620">
        <v>0</v>
      </c>
      <c r="F18" s="1211">
        <v>2</v>
      </c>
    </row>
    <row r="19" spans="1:6">
      <c r="A19" s="196" t="s">
        <v>375</v>
      </c>
      <c r="B19" s="620">
        <v>110</v>
      </c>
      <c r="C19" s="620">
        <v>290</v>
      </c>
      <c r="D19" s="620">
        <v>2</v>
      </c>
      <c r="E19" s="620">
        <v>6</v>
      </c>
      <c r="F19" s="1211">
        <v>3</v>
      </c>
    </row>
    <row r="22" spans="1:6">
      <c r="B22" s="1219">
        <v>1</v>
      </c>
      <c r="C22" s="1219">
        <v>2</v>
      </c>
      <c r="D22" s="1219">
        <v>1</v>
      </c>
      <c r="E22" s="1219">
        <v>2</v>
      </c>
      <c r="F22" s="1219" t="s">
        <v>1307</v>
      </c>
    </row>
    <row r="23" spans="1:6">
      <c r="A23" s="149" t="s">
        <v>11</v>
      </c>
      <c r="B23" s="1219">
        <v>3</v>
      </c>
      <c r="C23" s="1219">
        <v>3</v>
      </c>
      <c r="D23" s="1219">
        <v>4</v>
      </c>
      <c r="E23" s="1219">
        <v>4</v>
      </c>
      <c r="F23" s="1219" t="s">
        <v>263</v>
      </c>
    </row>
    <row r="24" spans="1:6">
      <c r="B24" s="2584" t="s">
        <v>2028</v>
      </c>
      <c r="C24" s="2584"/>
      <c r="D24" s="2584"/>
      <c r="E24" s="2584"/>
    </row>
    <row r="25" spans="1:6">
      <c r="B25" s="2572" t="s">
        <v>696</v>
      </c>
      <c r="C25" s="2573"/>
      <c r="D25" s="2574" t="s">
        <v>1276</v>
      </c>
      <c r="E25" s="2575"/>
    </row>
    <row r="26" spans="1:6">
      <c r="B26" s="985" t="s">
        <v>707</v>
      </c>
      <c r="C26" s="195" t="s">
        <v>708</v>
      </c>
      <c r="D26" s="986" t="s">
        <v>707</v>
      </c>
      <c r="E26" s="987" t="s">
        <v>708</v>
      </c>
    </row>
    <row r="27" spans="1:6" ht="24" customHeight="1">
      <c r="B27" s="1162">
        <v>2</v>
      </c>
      <c r="C27" s="1162">
        <v>2</v>
      </c>
      <c r="D27" s="1162">
        <v>4</v>
      </c>
      <c r="E27" s="1162">
        <v>1</v>
      </c>
    </row>
  </sheetData>
  <sheetProtection algorithmName="SHA-512" hashValue="guzIOMkcL0KO5BRAVfxRMqy8v1gMLPSb4O/jpAHWPZm9Bfpidg9k7nzisN0KMqrtfyF+joDpA6AORBwzeha1wg==" saltValue="eHq/Ge5ww+hsqpspv1b3/A==" spinCount="100000" sheet="1" objects="1" scenarios="1"/>
  <mergeCells count="9">
    <mergeCell ref="D1:F1"/>
    <mergeCell ref="A3:I3"/>
    <mergeCell ref="A8:H8"/>
    <mergeCell ref="B25:C25"/>
    <mergeCell ref="D25:E25"/>
    <mergeCell ref="B14:C15"/>
    <mergeCell ref="D14:E15"/>
    <mergeCell ref="B24:E24"/>
    <mergeCell ref="A5:I5"/>
  </mergeCells>
  <dataValidations count="2">
    <dataValidation type="list" allowBlank="1" showInputMessage="1" showErrorMessage="1" errorTitle="Erreur de saisie" error="Vous devez saisir une valeur dans la liste" sqref="I8">
      <formula1>lstReponse</formula1>
    </dataValidation>
    <dataValidation type="whole" allowBlank="1" showInputMessage="1" showErrorMessage="1" errorTitle="Erreur de saisie" error="Vous devez saisir une valeur entière" sqref="B17:E19 B27:E27">
      <formula1>0</formula1>
      <formula2>999999999999</formula2>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74" firstPageNumber="0" orientation="portrait" r:id="rId1"/>
  <headerFooter alignWithMargins="0">
    <oddFooter>&amp;LRSU 2020 - Présentation au CTP&amp;R&amp;P/&amp;N
&amp;A</oddFooter>
  </headerFooter>
</worksheet>
</file>

<file path=xl/worksheets/sheet47.xml><?xml version="1.0" encoding="utf-8"?>
<worksheet xmlns="http://schemas.openxmlformats.org/spreadsheetml/2006/main" xmlns:r="http://schemas.openxmlformats.org/officeDocument/2006/relationships">
  <sheetPr codeName="Feuil39">
    <pageSetUpPr fitToPage="1"/>
  </sheetPr>
  <dimension ref="A1:E24"/>
  <sheetViews>
    <sheetView showGridLines="0" workbookViewId="0"/>
  </sheetViews>
  <sheetFormatPr baseColWidth="10" defaultColWidth="10.85546875" defaultRowHeight="12.75" customHeight="1"/>
  <cols>
    <col min="1" max="1" width="70.28515625" customWidth="1"/>
    <col min="2" max="2" width="14.42578125" customWidth="1"/>
  </cols>
  <sheetData>
    <row r="1" spans="1:5" ht="17.100000000000001" customHeight="1">
      <c r="B1" s="2245" t="s">
        <v>958</v>
      </c>
      <c r="C1" s="2245"/>
    </row>
    <row r="3" spans="1:5" ht="29.25" customHeight="1">
      <c r="A3" s="2587" t="s">
        <v>823</v>
      </c>
      <c r="B3" s="2587"/>
      <c r="C3" s="2587"/>
      <c r="D3" s="2587"/>
      <c r="E3" s="2587"/>
    </row>
    <row r="4" spans="1:5" ht="12" customHeight="1"/>
    <row r="5" spans="1:5" ht="12.75" customHeight="1">
      <c r="A5" s="2588" t="s">
        <v>725</v>
      </c>
      <c r="B5" s="2589"/>
      <c r="C5" s="2589"/>
      <c r="D5" s="2589"/>
      <c r="E5" s="2589"/>
    </row>
    <row r="6" spans="1:5" hidden="1">
      <c r="A6" s="904">
        <v>4</v>
      </c>
      <c r="B6" s="905"/>
      <c r="C6" s="130"/>
      <c r="D6" s="130"/>
      <c r="E6" s="130"/>
    </row>
    <row r="7" spans="1:5" hidden="1">
      <c r="A7" s="905" t="s">
        <v>448</v>
      </c>
      <c r="B7" s="905" t="s">
        <v>449</v>
      </c>
      <c r="C7" s="130"/>
      <c r="D7" s="130"/>
      <c r="E7" s="130"/>
    </row>
    <row r="8" spans="1:5" hidden="1">
      <c r="A8" s="904"/>
      <c r="B8" s="906">
        <f>IF(B12="","",B12)</f>
        <v>84676</v>
      </c>
      <c r="C8" s="130"/>
      <c r="D8" s="130"/>
      <c r="E8" s="130"/>
    </row>
    <row r="9" spans="1:5">
      <c r="A9" s="2588" t="s">
        <v>24</v>
      </c>
      <c r="B9" s="2588"/>
      <c r="C9" s="2588"/>
      <c r="D9" s="2588"/>
      <c r="E9" s="130"/>
    </row>
    <row r="11" spans="1:5" ht="27.75" customHeight="1">
      <c r="A11" s="2590" t="s">
        <v>450</v>
      </c>
      <c r="B11" s="2590"/>
    </row>
    <row r="12" spans="1:5" ht="31.5" customHeight="1">
      <c r="A12" s="128" t="s">
        <v>12</v>
      </c>
      <c r="B12" s="622">
        <v>84676</v>
      </c>
    </row>
    <row r="13" spans="1:5" ht="43.5" customHeight="1">
      <c r="A13" s="1156" t="s">
        <v>13</v>
      </c>
      <c r="B13" s="622">
        <v>3247</v>
      </c>
    </row>
    <row r="14" spans="1:5" ht="43.5" customHeight="1">
      <c r="A14" s="1157" t="s">
        <v>2283</v>
      </c>
      <c r="B14" s="622">
        <v>0</v>
      </c>
    </row>
    <row r="15" spans="1:5" ht="63.75" customHeight="1">
      <c r="A15" s="1156" t="s">
        <v>804</v>
      </c>
      <c r="B15" s="622">
        <v>0</v>
      </c>
    </row>
    <row r="16" spans="1:5" ht="21.75" customHeight="1">
      <c r="A16" s="129" t="s">
        <v>2273</v>
      </c>
      <c r="B16" s="432">
        <f>SUM(B12:B15)/17375.78</f>
        <v>5.0600893887929059</v>
      </c>
    </row>
    <row r="19" spans="1:5" ht="27.75" customHeight="1">
      <c r="A19" s="2591" t="s">
        <v>1742</v>
      </c>
      <c r="B19" s="2591"/>
    </row>
    <row r="20" spans="1:5" ht="31.5" customHeight="1">
      <c r="A20" s="128" t="s">
        <v>2614</v>
      </c>
      <c r="B20" s="433">
        <f>SUM('IND 1.6.1'!B17:E19)</f>
        <v>452</v>
      </c>
    </row>
    <row r="21" spans="1:5" ht="31.5" customHeight="1">
      <c r="A21" s="210" t="s">
        <v>2029</v>
      </c>
      <c r="B21" s="434">
        <f>IF(('IND 1.1.1'!I376+'IND 1.2.1'!K91)=0,"-",B20/('IND 1.1.1'!I376+'IND 1.2.1'!K91)*100)</f>
        <v>7.8814298169136876</v>
      </c>
    </row>
    <row r="22" spans="1:5" ht="31.5" customHeight="1">
      <c r="A22" s="129" t="s">
        <v>1546</v>
      </c>
      <c r="B22" s="435">
        <f>IF(('IND 1.1.1'!I376+'IND 1.2.1'!K91)=0,"-",(B20+B16)/('IND 1.1.1'!I376+'IND 1.2.1'!K91)*100)</f>
        <v>7.969661541216964</v>
      </c>
    </row>
    <row r="23" spans="1:5" ht="17.25" customHeight="1"/>
    <row r="24" spans="1:5" ht="159.75" customHeight="1">
      <c r="A24" s="2586" t="s">
        <v>2524</v>
      </c>
      <c r="B24" s="2586"/>
      <c r="C24" s="2586"/>
      <c r="D24" s="2586"/>
      <c r="E24" s="2586"/>
    </row>
  </sheetData>
  <sheetProtection algorithmName="SHA-512" hashValue="DnbswtbxunkcGT1kPGFKcdeiJxIQEbMnk/HwvmhoMAhMfHMLenCf+QmwYEk290OABAUqH9pR3bTfZyo1GpLXEg==" saltValue="1jkfFNPZpOKdjPTiOiXqaw==" spinCount="100000" sheet="1" objects="1" scenarios="1"/>
  <mergeCells count="7">
    <mergeCell ref="A24:E24"/>
    <mergeCell ref="B1:C1"/>
    <mergeCell ref="A3:E3"/>
    <mergeCell ref="A5:E5"/>
    <mergeCell ref="A9:D9"/>
    <mergeCell ref="A11:B11"/>
    <mergeCell ref="A19:B19"/>
  </mergeCells>
  <dataValidations xWindow="53823" yWindow="32380" count="1">
    <dataValidation type="whole" allowBlank="1" showInputMessage="1" showErrorMessage="1" errorTitle="Erreur de saisie" error="Vous devez saisir une valeur entière" sqref="B12:B15">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77" firstPageNumber="0" orientation="portrait" r:id="rId1"/>
  <headerFooter alignWithMargins="0">
    <oddFooter>&amp;LRSU 2020 - Présentation au CTP&amp;R&amp;P/&amp;N
&amp;A</oddFooter>
  </headerFooter>
</worksheet>
</file>

<file path=xl/worksheets/sheet48.xml><?xml version="1.0" encoding="utf-8"?>
<worksheet xmlns="http://schemas.openxmlformats.org/spreadsheetml/2006/main" xmlns:r="http://schemas.openxmlformats.org/officeDocument/2006/relationships">
  <sheetPr codeName="Feuil40">
    <pageSetUpPr fitToPage="1"/>
  </sheetPr>
  <dimension ref="A1:G58"/>
  <sheetViews>
    <sheetView showGridLines="0" zoomScaleNormal="100" workbookViewId="0"/>
  </sheetViews>
  <sheetFormatPr baseColWidth="10" defaultColWidth="10.85546875" defaultRowHeight="12.75" customHeight="1"/>
  <cols>
    <col min="1" max="1" width="21" customWidth="1"/>
    <col min="2" max="3" width="30.7109375" customWidth="1"/>
    <col min="4" max="5" width="33.7109375" customWidth="1"/>
    <col min="11" max="11" width="10.85546875" customWidth="1"/>
  </cols>
  <sheetData>
    <row r="1" spans="1:7" ht="17.100000000000001" customHeight="1">
      <c r="B1" s="2245" t="s">
        <v>958</v>
      </c>
      <c r="C1" s="2245"/>
    </row>
    <row r="4" spans="1:7" ht="15.75" customHeight="1">
      <c r="A4" s="2593" t="s">
        <v>2359</v>
      </c>
      <c r="B4" s="2593"/>
      <c r="C4" s="2593"/>
      <c r="D4" s="2593"/>
      <c r="E4" s="2593"/>
    </row>
    <row r="6" spans="1:7" ht="24.75" customHeight="1">
      <c r="A6" s="2594" t="s">
        <v>2360</v>
      </c>
      <c r="B6" s="2447"/>
      <c r="C6" s="2447"/>
      <c r="D6" s="2447"/>
      <c r="E6" s="2447"/>
    </row>
    <row r="7" spans="1:7">
      <c r="A7" s="1105" t="s">
        <v>1832</v>
      </c>
      <c r="B7" s="909"/>
      <c r="C7" s="910"/>
      <c r="D7" s="44"/>
      <c r="E7" s="44"/>
    </row>
    <row r="10" spans="1:7" ht="25.5">
      <c r="A10" s="108" t="s">
        <v>805</v>
      </c>
      <c r="B10" s="108" t="s">
        <v>806</v>
      </c>
      <c r="C10" s="216" t="s">
        <v>445</v>
      </c>
      <c r="D10" s="131" t="s">
        <v>980</v>
      </c>
      <c r="E10" s="131" t="s">
        <v>981</v>
      </c>
    </row>
    <row r="11" spans="1:7">
      <c r="C11" s="224" t="s">
        <v>977</v>
      </c>
      <c r="D11" s="225" t="s">
        <v>978</v>
      </c>
      <c r="E11" s="225" t="s">
        <v>979</v>
      </c>
    </row>
    <row r="12" spans="1:7">
      <c r="C12" s="1229">
        <v>1</v>
      </c>
      <c r="D12" s="1229">
        <v>2</v>
      </c>
      <c r="E12" s="1229">
        <v>3</v>
      </c>
      <c r="F12" s="1229" t="s">
        <v>807</v>
      </c>
      <c r="G12" s="1204" t="s">
        <v>808</v>
      </c>
    </row>
    <row r="13" spans="1:7">
      <c r="A13" s="2592" t="s">
        <v>809</v>
      </c>
      <c r="B13" s="126" t="s">
        <v>810</v>
      </c>
      <c r="C13" s="564">
        <v>10</v>
      </c>
      <c r="D13" s="564">
        <v>26</v>
      </c>
      <c r="E13" s="564">
        <v>58</v>
      </c>
      <c r="F13" s="1188">
        <v>1</v>
      </c>
      <c r="G13" s="1230" t="s">
        <v>695</v>
      </c>
    </row>
    <row r="14" spans="1:7">
      <c r="A14" s="2592"/>
      <c r="B14" s="126" t="s">
        <v>811</v>
      </c>
      <c r="C14" s="564">
        <v>70</v>
      </c>
      <c r="D14" s="564">
        <v>28</v>
      </c>
      <c r="E14" s="564">
        <v>24</v>
      </c>
      <c r="F14" s="1188">
        <v>1</v>
      </c>
      <c r="G14" s="1230" t="s">
        <v>179</v>
      </c>
    </row>
    <row r="15" spans="1:7">
      <c r="A15" s="2592"/>
      <c r="B15" s="126" t="s">
        <v>812</v>
      </c>
      <c r="C15" s="564">
        <v>136</v>
      </c>
      <c r="D15" s="564">
        <v>31</v>
      </c>
      <c r="E15" s="564">
        <v>22</v>
      </c>
      <c r="F15" s="1188">
        <v>1</v>
      </c>
      <c r="G15" s="1230" t="s">
        <v>181</v>
      </c>
    </row>
    <row r="16" spans="1:7">
      <c r="A16" s="2592"/>
      <c r="B16" s="126" t="s">
        <v>1744</v>
      </c>
      <c r="C16" s="564">
        <v>167</v>
      </c>
      <c r="D16" s="564">
        <v>20</v>
      </c>
      <c r="E16" s="564">
        <v>24</v>
      </c>
      <c r="F16" s="1188">
        <v>1</v>
      </c>
      <c r="G16" s="1230" t="s">
        <v>183</v>
      </c>
    </row>
    <row r="17" spans="1:7">
      <c r="A17" s="2592"/>
      <c r="B17" s="126" t="s">
        <v>1745</v>
      </c>
      <c r="C17" s="564">
        <v>187</v>
      </c>
      <c r="D17" s="564">
        <v>21</v>
      </c>
      <c r="E17" s="564">
        <v>27</v>
      </c>
      <c r="F17" s="1188">
        <v>1</v>
      </c>
      <c r="G17" s="1230" t="s">
        <v>184</v>
      </c>
    </row>
    <row r="18" spans="1:7">
      <c r="A18" s="2592"/>
      <c r="B18" s="126" t="s">
        <v>1746</v>
      </c>
      <c r="C18" s="564">
        <v>262</v>
      </c>
      <c r="D18" s="564">
        <v>28</v>
      </c>
      <c r="E18" s="564">
        <v>26</v>
      </c>
      <c r="F18" s="1188">
        <v>1</v>
      </c>
      <c r="G18" s="1230" t="s">
        <v>2027</v>
      </c>
    </row>
    <row r="19" spans="1:7">
      <c r="A19" s="2592"/>
      <c r="B19" s="126" t="s">
        <v>1747</v>
      </c>
      <c r="C19" s="564">
        <v>234</v>
      </c>
      <c r="D19" s="564">
        <v>26</v>
      </c>
      <c r="E19" s="564">
        <v>42</v>
      </c>
      <c r="F19" s="1188">
        <v>1</v>
      </c>
      <c r="G19" s="1230" t="s">
        <v>185</v>
      </c>
    </row>
    <row r="20" spans="1:7">
      <c r="A20" s="2592"/>
      <c r="B20" s="126" t="s">
        <v>1748</v>
      </c>
      <c r="C20" s="564">
        <v>283</v>
      </c>
      <c r="D20" s="564">
        <v>26</v>
      </c>
      <c r="E20" s="564">
        <v>37</v>
      </c>
      <c r="F20" s="1188">
        <v>1</v>
      </c>
      <c r="G20" s="1230" t="s">
        <v>1749</v>
      </c>
    </row>
    <row r="21" spans="1:7">
      <c r="A21" s="2592"/>
      <c r="B21" s="126" t="s">
        <v>1750</v>
      </c>
      <c r="C21" s="564">
        <v>200</v>
      </c>
      <c r="D21" s="564">
        <v>10</v>
      </c>
      <c r="E21" s="564">
        <v>31</v>
      </c>
      <c r="F21" s="1188">
        <v>1</v>
      </c>
      <c r="G21" s="1230" t="s">
        <v>186</v>
      </c>
    </row>
    <row r="22" spans="1:7">
      <c r="A22" s="2592"/>
      <c r="B22" s="126" t="s">
        <v>1751</v>
      </c>
      <c r="C22" s="564">
        <v>29</v>
      </c>
      <c r="D22" s="564">
        <v>4</v>
      </c>
      <c r="E22" s="564">
        <v>142</v>
      </c>
      <c r="F22" s="1188">
        <v>1</v>
      </c>
      <c r="G22" s="1204">
        <v>10</v>
      </c>
    </row>
    <row r="23" spans="1:7">
      <c r="A23" s="2592"/>
      <c r="B23" s="497" t="s">
        <v>696</v>
      </c>
      <c r="C23" s="692">
        <f>SUM(C13:C22)</f>
        <v>1578</v>
      </c>
      <c r="D23" s="692">
        <f>SUM(D13:D22)</f>
        <v>220</v>
      </c>
      <c r="E23" s="692">
        <f>SUM(E13:E22)</f>
        <v>433</v>
      </c>
      <c r="F23" s="1188">
        <v>1</v>
      </c>
      <c r="G23" s="1230" t="s">
        <v>697</v>
      </c>
    </row>
    <row r="25" spans="1:7">
      <c r="A25" s="2592" t="s">
        <v>1752</v>
      </c>
      <c r="B25" s="126" t="s">
        <v>810</v>
      </c>
      <c r="C25" s="564">
        <v>14</v>
      </c>
      <c r="D25" s="564">
        <v>46</v>
      </c>
      <c r="E25" s="564">
        <v>113</v>
      </c>
      <c r="F25" s="1188">
        <v>2</v>
      </c>
      <c r="G25" s="1230" t="s">
        <v>695</v>
      </c>
    </row>
    <row r="26" spans="1:7">
      <c r="A26" s="2592"/>
      <c r="B26" s="126" t="s">
        <v>811</v>
      </c>
      <c r="C26" s="564">
        <v>111</v>
      </c>
      <c r="D26" s="564">
        <v>119</v>
      </c>
      <c r="E26" s="564">
        <v>92</v>
      </c>
      <c r="F26" s="1188">
        <v>2</v>
      </c>
      <c r="G26" s="1230" t="s">
        <v>179</v>
      </c>
    </row>
    <row r="27" spans="1:7">
      <c r="A27" s="2592"/>
      <c r="B27" s="126" t="s">
        <v>812</v>
      </c>
      <c r="C27" s="564">
        <v>260</v>
      </c>
      <c r="D27" s="564">
        <v>103</v>
      </c>
      <c r="E27" s="564">
        <v>108</v>
      </c>
      <c r="F27" s="1188">
        <v>2</v>
      </c>
      <c r="G27" s="1230" t="s">
        <v>181</v>
      </c>
    </row>
    <row r="28" spans="1:7">
      <c r="A28" s="2592"/>
      <c r="B28" s="126" t="s">
        <v>1744</v>
      </c>
      <c r="C28" s="564">
        <v>315</v>
      </c>
      <c r="D28" s="564">
        <v>115</v>
      </c>
      <c r="E28" s="564">
        <v>109</v>
      </c>
      <c r="F28" s="1188">
        <v>2</v>
      </c>
      <c r="G28" s="1230" t="s">
        <v>183</v>
      </c>
    </row>
    <row r="29" spans="1:7">
      <c r="A29" s="2592"/>
      <c r="B29" s="126" t="s">
        <v>1745</v>
      </c>
      <c r="C29" s="564">
        <v>397</v>
      </c>
      <c r="D29" s="564">
        <v>94</v>
      </c>
      <c r="E29" s="564">
        <v>133</v>
      </c>
      <c r="F29" s="1188">
        <v>2</v>
      </c>
      <c r="G29" s="1230" t="s">
        <v>184</v>
      </c>
    </row>
    <row r="30" spans="1:7">
      <c r="A30" s="2592"/>
      <c r="B30" s="126" t="s">
        <v>1746</v>
      </c>
      <c r="C30" s="564">
        <v>453</v>
      </c>
      <c r="D30" s="564">
        <v>58</v>
      </c>
      <c r="E30" s="564">
        <v>149</v>
      </c>
      <c r="F30" s="1188">
        <v>2</v>
      </c>
      <c r="G30" s="1230" t="s">
        <v>2027</v>
      </c>
    </row>
    <row r="31" spans="1:7">
      <c r="A31" s="2592"/>
      <c r="B31" s="126" t="s">
        <v>1747</v>
      </c>
      <c r="C31" s="564">
        <v>575</v>
      </c>
      <c r="D31" s="564">
        <v>55</v>
      </c>
      <c r="E31" s="564">
        <v>168</v>
      </c>
      <c r="F31" s="1188">
        <v>2</v>
      </c>
      <c r="G31" s="1230" t="s">
        <v>185</v>
      </c>
    </row>
    <row r="32" spans="1:7">
      <c r="A32" s="2592"/>
      <c r="B32" s="126" t="s">
        <v>1748</v>
      </c>
      <c r="C32" s="564">
        <v>663</v>
      </c>
      <c r="D32" s="564">
        <v>64</v>
      </c>
      <c r="E32" s="564">
        <v>131</v>
      </c>
      <c r="F32" s="1188">
        <v>2</v>
      </c>
      <c r="G32" s="1230" t="s">
        <v>1749</v>
      </c>
    </row>
    <row r="33" spans="1:7">
      <c r="A33" s="2592"/>
      <c r="B33" s="126" t="s">
        <v>1750</v>
      </c>
      <c r="C33" s="564">
        <v>415</v>
      </c>
      <c r="D33" s="564">
        <v>20</v>
      </c>
      <c r="E33" s="564">
        <v>107</v>
      </c>
      <c r="F33" s="1188">
        <v>2</v>
      </c>
      <c r="G33" s="1230" t="s">
        <v>186</v>
      </c>
    </row>
    <row r="34" spans="1:7">
      <c r="A34" s="2592"/>
      <c r="B34" s="126" t="s">
        <v>1751</v>
      </c>
      <c r="C34" s="564">
        <v>55</v>
      </c>
      <c r="D34" s="564">
        <v>5</v>
      </c>
      <c r="E34" s="564">
        <v>131</v>
      </c>
      <c r="F34" s="1188">
        <v>2</v>
      </c>
      <c r="G34" s="1204">
        <v>10</v>
      </c>
    </row>
    <row r="35" spans="1:7">
      <c r="A35" s="2592"/>
      <c r="B35" s="497" t="s">
        <v>696</v>
      </c>
      <c r="C35" s="692">
        <f>SUM(C25:C34)</f>
        <v>3258</v>
      </c>
      <c r="D35" s="692">
        <f>SUM(D25:D34)</f>
        <v>679</v>
      </c>
      <c r="E35" s="692">
        <f>SUM(E25:E34)</f>
        <v>1241</v>
      </c>
      <c r="F35" s="1188">
        <v>2</v>
      </c>
      <c r="G35" s="1230" t="s">
        <v>697</v>
      </c>
    </row>
    <row r="37" spans="1:7">
      <c r="A37" s="2592" t="s">
        <v>1753</v>
      </c>
      <c r="B37" s="126" t="s">
        <v>810</v>
      </c>
      <c r="C37" s="692">
        <f t="shared" ref="C37:C47" si="0">SUM(C13,C25)</f>
        <v>24</v>
      </c>
      <c r="D37" s="692">
        <f t="shared" ref="D37:D47" si="1">SUM(D13,D25)</f>
        <v>72</v>
      </c>
      <c r="E37" s="692">
        <f t="shared" ref="E37:E47" si="2">SUM(E13,E25)</f>
        <v>171</v>
      </c>
      <c r="F37" s="1188">
        <v>0</v>
      </c>
      <c r="G37" s="1230" t="s">
        <v>695</v>
      </c>
    </row>
    <row r="38" spans="1:7">
      <c r="A38" s="2592"/>
      <c r="B38" s="126" t="s">
        <v>811</v>
      </c>
      <c r="C38" s="692">
        <f t="shared" si="0"/>
        <v>181</v>
      </c>
      <c r="D38" s="692">
        <f t="shared" si="1"/>
        <v>147</v>
      </c>
      <c r="E38" s="692">
        <f t="shared" si="2"/>
        <v>116</v>
      </c>
      <c r="F38" s="1188">
        <v>0</v>
      </c>
      <c r="G38" s="1230" t="s">
        <v>179</v>
      </c>
    </row>
    <row r="39" spans="1:7">
      <c r="A39" s="2592"/>
      <c r="B39" s="126" t="s">
        <v>812</v>
      </c>
      <c r="C39" s="692">
        <f t="shared" si="0"/>
        <v>396</v>
      </c>
      <c r="D39" s="692">
        <f t="shared" si="1"/>
        <v>134</v>
      </c>
      <c r="E39" s="692">
        <f t="shared" si="2"/>
        <v>130</v>
      </c>
      <c r="F39" s="1188">
        <v>0</v>
      </c>
      <c r="G39" s="1230" t="s">
        <v>181</v>
      </c>
    </row>
    <row r="40" spans="1:7">
      <c r="A40" s="2592"/>
      <c r="B40" s="126" t="s">
        <v>1744</v>
      </c>
      <c r="C40" s="692">
        <f t="shared" si="0"/>
        <v>482</v>
      </c>
      <c r="D40" s="692">
        <f t="shared" si="1"/>
        <v>135</v>
      </c>
      <c r="E40" s="692">
        <f t="shared" si="2"/>
        <v>133</v>
      </c>
      <c r="F40" s="1188">
        <v>0</v>
      </c>
      <c r="G40" s="1230" t="s">
        <v>183</v>
      </c>
    </row>
    <row r="41" spans="1:7">
      <c r="A41" s="2592"/>
      <c r="B41" s="126" t="s">
        <v>1745</v>
      </c>
      <c r="C41" s="692">
        <f t="shared" si="0"/>
        <v>584</v>
      </c>
      <c r="D41" s="692">
        <f t="shared" si="1"/>
        <v>115</v>
      </c>
      <c r="E41" s="692">
        <f t="shared" si="2"/>
        <v>160</v>
      </c>
      <c r="F41" s="1188">
        <v>0</v>
      </c>
      <c r="G41" s="1230" t="s">
        <v>184</v>
      </c>
    </row>
    <row r="42" spans="1:7">
      <c r="A42" s="2592"/>
      <c r="B42" s="126" t="s">
        <v>1746</v>
      </c>
      <c r="C42" s="692">
        <f t="shared" si="0"/>
        <v>715</v>
      </c>
      <c r="D42" s="692">
        <f t="shared" si="1"/>
        <v>86</v>
      </c>
      <c r="E42" s="692">
        <f t="shared" si="2"/>
        <v>175</v>
      </c>
      <c r="F42" s="1188">
        <v>0</v>
      </c>
      <c r="G42" s="1230" t="s">
        <v>2027</v>
      </c>
    </row>
    <row r="43" spans="1:7">
      <c r="A43" s="2592"/>
      <c r="B43" s="126" t="s">
        <v>1747</v>
      </c>
      <c r="C43" s="692">
        <f t="shared" si="0"/>
        <v>809</v>
      </c>
      <c r="D43" s="692">
        <f t="shared" si="1"/>
        <v>81</v>
      </c>
      <c r="E43" s="692">
        <f t="shared" si="2"/>
        <v>210</v>
      </c>
      <c r="F43" s="1188">
        <v>0</v>
      </c>
      <c r="G43" s="1230" t="s">
        <v>185</v>
      </c>
    </row>
    <row r="44" spans="1:7">
      <c r="A44" s="2592"/>
      <c r="B44" s="126" t="s">
        <v>1748</v>
      </c>
      <c r="C44" s="692">
        <f t="shared" si="0"/>
        <v>946</v>
      </c>
      <c r="D44" s="692">
        <f t="shared" si="1"/>
        <v>90</v>
      </c>
      <c r="E44" s="692">
        <f t="shared" si="2"/>
        <v>168</v>
      </c>
      <c r="F44" s="1188">
        <v>0</v>
      </c>
      <c r="G44" s="1230" t="s">
        <v>1749</v>
      </c>
    </row>
    <row r="45" spans="1:7">
      <c r="A45" s="2592"/>
      <c r="B45" s="126" t="s">
        <v>1750</v>
      </c>
      <c r="C45" s="692">
        <f t="shared" si="0"/>
        <v>615</v>
      </c>
      <c r="D45" s="692">
        <f t="shared" si="1"/>
        <v>30</v>
      </c>
      <c r="E45" s="692">
        <f t="shared" si="2"/>
        <v>138</v>
      </c>
      <c r="F45" s="1188">
        <v>0</v>
      </c>
      <c r="G45" s="1230" t="s">
        <v>186</v>
      </c>
    </row>
    <row r="46" spans="1:7">
      <c r="A46" s="2592"/>
      <c r="B46" s="126" t="s">
        <v>1751</v>
      </c>
      <c r="C46" s="692">
        <f t="shared" si="0"/>
        <v>84</v>
      </c>
      <c r="D46" s="692">
        <f t="shared" si="1"/>
        <v>9</v>
      </c>
      <c r="E46" s="692">
        <f t="shared" si="2"/>
        <v>273</v>
      </c>
      <c r="F46" s="1188">
        <v>0</v>
      </c>
      <c r="G46" s="1204">
        <v>10</v>
      </c>
    </row>
    <row r="47" spans="1:7">
      <c r="A47" s="2592"/>
      <c r="B47" s="497" t="s">
        <v>696</v>
      </c>
      <c r="C47" s="692">
        <f t="shared" si="0"/>
        <v>4836</v>
      </c>
      <c r="D47" s="692">
        <f t="shared" si="1"/>
        <v>899</v>
      </c>
      <c r="E47" s="692">
        <f t="shared" si="2"/>
        <v>1674</v>
      </c>
      <c r="F47" s="1188">
        <v>0</v>
      </c>
      <c r="G47" s="1230" t="s">
        <v>697</v>
      </c>
    </row>
    <row r="48" spans="1:7" ht="27.75" customHeight="1">
      <c r="A48" s="907" t="s">
        <v>2361</v>
      </c>
      <c r="B48" s="908" t="s">
        <v>1754</v>
      </c>
    </row>
    <row r="49" spans="1:2">
      <c r="A49" s="133" t="s">
        <v>810</v>
      </c>
      <c r="B49" s="199" t="s">
        <v>813</v>
      </c>
    </row>
    <row r="50" spans="1:2">
      <c r="A50" s="133" t="s">
        <v>811</v>
      </c>
      <c r="B50" s="199" t="s">
        <v>814</v>
      </c>
    </row>
    <row r="51" spans="1:2">
      <c r="A51" s="133" t="s">
        <v>812</v>
      </c>
      <c r="B51" s="199" t="s">
        <v>815</v>
      </c>
    </row>
    <row r="52" spans="1:2">
      <c r="A52" s="133" t="s">
        <v>1744</v>
      </c>
      <c r="B52" s="199" t="s">
        <v>816</v>
      </c>
    </row>
    <row r="53" spans="1:2">
      <c r="A53" s="133" t="s">
        <v>1745</v>
      </c>
      <c r="B53" s="199" t="s">
        <v>817</v>
      </c>
    </row>
    <row r="54" spans="1:2">
      <c r="A54" s="133" t="s">
        <v>1746</v>
      </c>
      <c r="B54" s="199" t="s">
        <v>818</v>
      </c>
    </row>
    <row r="55" spans="1:2">
      <c r="A55" s="133" t="s">
        <v>1747</v>
      </c>
      <c r="B55" s="199" t="s">
        <v>819</v>
      </c>
    </row>
    <row r="56" spans="1:2">
      <c r="A56" s="133" t="s">
        <v>1748</v>
      </c>
      <c r="B56" s="199" t="s">
        <v>820</v>
      </c>
    </row>
    <row r="57" spans="1:2">
      <c r="A57" s="133" t="s">
        <v>1750</v>
      </c>
      <c r="B57" s="199" t="s">
        <v>821</v>
      </c>
    </row>
    <row r="58" spans="1:2">
      <c r="A58" s="132" t="s">
        <v>1751</v>
      </c>
      <c r="B58" s="199" t="s">
        <v>822</v>
      </c>
    </row>
  </sheetData>
  <sheetProtection algorithmName="SHA-512" hashValue="X0uEbhHOs65aJJXWvYa9okbtim/RPJFCViizG97xUXO8umeK5CNxiMFdOcFdrF/ZLh5uRG9JihzI+LvKLZYPGw==" saltValue="TUHCcWHxaxJwhgUv8MwcjA==" spinCount="100000" sheet="1" objects="1" scenarios="1"/>
  <mergeCells count="6">
    <mergeCell ref="A37:A47"/>
    <mergeCell ref="B1:C1"/>
    <mergeCell ref="A4:E4"/>
    <mergeCell ref="A13:A23"/>
    <mergeCell ref="A25:A35"/>
    <mergeCell ref="A6:E6"/>
  </mergeCells>
  <dataValidations xWindow="43139" yWindow="6415" count="1">
    <dataValidation type="whole" allowBlank="1" showInputMessage="1" showErrorMessage="1" errorTitle="Erreur de saisie" error="Vous devez saisir une valeur entière" sqref="C13:E22 C25:E34">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61" firstPageNumber="0" orientation="portrait" r:id="rId1"/>
  <headerFooter alignWithMargins="0">
    <oddFooter>&amp;LRSU 2020 - Présentation au CTP&amp;R&amp;P/&amp;N
&amp;A</oddFooter>
  </headerFooter>
</worksheet>
</file>

<file path=xl/worksheets/sheet49.xml><?xml version="1.0" encoding="utf-8"?>
<worksheet xmlns="http://schemas.openxmlformats.org/spreadsheetml/2006/main" xmlns:r="http://schemas.openxmlformats.org/officeDocument/2006/relationships">
  <sheetPr codeName="Feuil41">
    <pageSetUpPr fitToPage="1"/>
  </sheetPr>
  <dimension ref="A1:G14"/>
  <sheetViews>
    <sheetView showGridLines="0" zoomScaleNormal="85" workbookViewId="0"/>
  </sheetViews>
  <sheetFormatPr baseColWidth="10" defaultColWidth="10.85546875" defaultRowHeight="12.75" customHeight="1"/>
  <cols>
    <col min="8" max="14" width="10.85546875" customWidth="1"/>
  </cols>
  <sheetData>
    <row r="1" spans="1:7">
      <c r="A1" s="1117"/>
      <c r="B1" s="1117"/>
      <c r="C1" s="2245" t="s">
        <v>958</v>
      </c>
      <c r="D1" s="2245"/>
      <c r="E1" s="1118"/>
      <c r="F1" s="1118"/>
      <c r="G1" s="1118"/>
    </row>
    <row r="2" spans="1:7" ht="13.5" thickBot="1">
      <c r="A2" s="1117"/>
      <c r="B2" s="1117"/>
      <c r="C2" s="1119"/>
      <c r="D2" s="1119"/>
      <c r="E2" s="1118"/>
      <c r="F2" s="1118"/>
      <c r="G2" s="1118"/>
    </row>
    <row r="3" spans="1:7" ht="13.5" thickBot="1">
      <c r="A3" s="2597" t="s">
        <v>963</v>
      </c>
      <c r="B3" s="2597"/>
      <c r="C3" s="2597"/>
      <c r="D3" s="2597"/>
      <c r="E3" s="2597"/>
      <c r="F3" s="2597"/>
      <c r="G3" s="2597"/>
    </row>
    <row r="4" spans="1:7">
      <c r="A4" s="1117"/>
      <c r="B4" s="1117"/>
      <c r="C4" s="1119"/>
      <c r="D4" s="1119"/>
      <c r="E4" s="1118"/>
      <c r="F4" s="1118"/>
      <c r="G4" s="1118"/>
    </row>
    <row r="5" spans="1:7" ht="12.75" customHeight="1">
      <c r="A5" s="2598" t="s">
        <v>588</v>
      </c>
      <c r="B5" s="2598"/>
      <c r="C5" s="2598"/>
      <c r="D5" s="2598"/>
      <c r="E5" s="2598"/>
      <c r="F5" s="2598"/>
      <c r="G5" s="2598"/>
    </row>
    <row r="6" spans="1:7" ht="52.5" customHeight="1">
      <c r="A6" s="2598"/>
      <c r="B6" s="2598"/>
      <c r="C6" s="2598"/>
      <c r="D6" s="2598"/>
      <c r="E6" s="2598"/>
      <c r="F6" s="2598"/>
      <c r="G6" s="2598"/>
    </row>
    <row r="7" spans="1:7">
      <c r="A7" s="1120"/>
      <c r="B7" s="1120"/>
      <c r="C7" s="1120"/>
      <c r="D7" s="1120"/>
      <c r="E7" s="1118"/>
      <c r="F7" s="1118"/>
      <c r="G7" s="1118"/>
    </row>
    <row r="8" spans="1:7">
      <c r="A8" s="1121" t="s">
        <v>964</v>
      </c>
      <c r="B8" s="1118"/>
      <c r="C8" s="1118"/>
      <c r="D8" s="1118"/>
      <c r="E8" s="1118"/>
      <c r="F8" s="1118"/>
      <c r="G8" s="1118"/>
    </row>
    <row r="9" spans="1:7">
      <c r="A9" s="1118"/>
      <c r="B9" s="1118"/>
      <c r="C9" s="1118"/>
      <c r="D9" s="1118"/>
      <c r="E9" s="1118"/>
      <c r="F9" s="1118"/>
      <c r="G9" s="1118"/>
    </row>
    <row r="10" spans="1:7" ht="12.75" customHeight="1">
      <c r="A10" s="2595" t="s">
        <v>1554</v>
      </c>
      <c r="B10" s="2595"/>
      <c r="C10" s="2595"/>
      <c r="D10" s="2595"/>
      <c r="E10" s="2595"/>
      <c r="F10" s="2595"/>
      <c r="G10" s="2595"/>
    </row>
    <row r="11" spans="1:7" ht="39" customHeight="1">
      <c r="A11" s="2595"/>
      <c r="B11" s="2595"/>
      <c r="C11" s="2595"/>
      <c r="D11" s="2595"/>
      <c r="E11" s="2595"/>
      <c r="F11" s="2595"/>
      <c r="G11" s="2595"/>
    </row>
    <row r="12" spans="1:7">
      <c r="A12" s="1120"/>
      <c r="B12" s="1120"/>
      <c r="C12" s="1120"/>
      <c r="D12" s="1120"/>
      <c r="E12" s="1118"/>
      <c r="F12" s="1118"/>
      <c r="G12" s="1118"/>
    </row>
    <row r="13" spans="1:7" ht="12.75" customHeight="1">
      <c r="A13" s="2595" t="s">
        <v>1555</v>
      </c>
      <c r="B13" s="2595"/>
      <c r="C13" s="2595"/>
      <c r="D13" s="2595"/>
      <c r="E13" s="2595"/>
      <c r="F13" s="2595"/>
      <c r="G13" s="2595"/>
    </row>
    <row r="14" spans="1:7">
      <c r="A14" s="2596"/>
      <c r="B14" s="2596"/>
      <c r="C14" s="2596"/>
      <c r="D14" s="2596"/>
      <c r="E14" s="2596"/>
      <c r="F14" s="2596"/>
      <c r="G14" s="2596"/>
    </row>
  </sheetData>
  <sheetProtection algorithmName="SHA-512" hashValue="7mRAg0VHa+/tNVK0utMKiQiyOezYDXBS3ZzARVg7MQVhTOu97z8lF8//bawDYm2xlgPNBGblG6sex1xkgDbm4Q==" saltValue="w1FHEQj+H5/jH6MV/EbNfQ==" spinCount="100000" sheet="1" objects="1" scenarios="1"/>
  <mergeCells count="5">
    <mergeCell ref="A13:G14"/>
    <mergeCell ref="C1:D1"/>
    <mergeCell ref="A3:G3"/>
    <mergeCell ref="A5:G6"/>
    <mergeCell ref="A10:G11"/>
  </mergeCell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firstPageNumber="0" orientation="portrait" r:id="rId1"/>
  <headerFooter alignWithMargins="0">
    <oddFooter>&amp;LRSU 2020 - Présentation au CTP&amp;R&amp;P/&amp;N
&amp;A</oddFooter>
  </headerFooter>
</worksheet>
</file>

<file path=xl/worksheets/sheet5.xml><?xml version="1.0" encoding="utf-8"?>
<worksheet xmlns="http://schemas.openxmlformats.org/spreadsheetml/2006/main" xmlns:r="http://schemas.openxmlformats.org/officeDocument/2006/relationships">
  <sheetPr codeName="Feuil20">
    <tabColor theme="8" tint="-0.249977111117893"/>
  </sheetPr>
  <dimension ref="A1"/>
  <sheetViews>
    <sheetView workbookViewId="0"/>
  </sheetViews>
  <sheetFormatPr baseColWidth="10" defaultColWidth="9.140625" defaultRowHeight="15"/>
  <cols>
    <col min="1" max="16384" width="9.140625" style="1293" collapsed="1"/>
  </cols>
  <sheetData/>
  <pageMargins left="0.7" right="0.7" top="0.75" bottom="0.75" header="0.3" footer="0.3"/>
</worksheet>
</file>

<file path=xl/worksheets/sheet50.xml><?xml version="1.0" encoding="utf-8"?>
<worksheet xmlns="http://schemas.openxmlformats.org/spreadsheetml/2006/main" xmlns:r="http://schemas.openxmlformats.org/officeDocument/2006/relationships">
  <sheetPr codeName="Feuil42">
    <pageSetUpPr fitToPage="1"/>
  </sheetPr>
  <dimension ref="A1:D10"/>
  <sheetViews>
    <sheetView showGridLines="0" workbookViewId="0"/>
  </sheetViews>
  <sheetFormatPr baseColWidth="10" defaultColWidth="10.85546875" defaultRowHeight="12.75" customHeight="1"/>
  <cols>
    <col min="1" max="1" width="57.28515625" customWidth="1"/>
    <col min="2" max="2" width="23.85546875" customWidth="1"/>
  </cols>
  <sheetData>
    <row r="1" spans="1:4" ht="17.100000000000001" customHeight="1">
      <c r="C1" s="2245" t="s">
        <v>958</v>
      </c>
      <c r="D1" s="2245"/>
    </row>
    <row r="2" spans="1:4" ht="13.5" thickBot="1"/>
    <row r="3" spans="1:4" ht="13.5" thickBot="1">
      <c r="A3" s="2286" t="s">
        <v>541</v>
      </c>
      <c r="B3" s="2286"/>
    </row>
    <row r="5" spans="1:4" ht="24.75" customHeight="1">
      <c r="A5" s="2599" t="s">
        <v>569</v>
      </c>
      <c r="B5" s="2600"/>
    </row>
    <row r="7" spans="1:4" ht="24">
      <c r="A7" s="807"/>
      <c r="B7" s="808" t="s">
        <v>1380</v>
      </c>
    </row>
    <row r="8" spans="1:4" ht="21" customHeight="1">
      <c r="A8" s="1158" t="s">
        <v>976</v>
      </c>
      <c r="B8" s="1028">
        <v>0</v>
      </c>
    </row>
    <row r="9" spans="1:4" ht="60">
      <c r="A9" s="1159" t="s">
        <v>1033</v>
      </c>
      <c r="B9" s="646" t="s">
        <v>1124</v>
      </c>
    </row>
    <row r="10" spans="1:4" ht="34.5" customHeight="1">
      <c r="A10" s="1160" t="s">
        <v>825</v>
      </c>
      <c r="B10" s="809">
        <v>0</v>
      </c>
    </row>
  </sheetData>
  <sheetProtection algorithmName="SHA-512" hashValue="41mVSzW2+QO6Ws1qL+lN9WD4y+Ws934/+0KUyE5KhnK5g+XkrLUNrk4Vn/O6X3PpJETO5yJmNxzes0C5B6S0oQ==" saltValue="2itAfl5lPPBXEQ0ucb4+sw==" spinCount="100000" sheet="1" objects="1" scenarios="1"/>
  <mergeCells count="3">
    <mergeCell ref="C1:D1"/>
    <mergeCell ref="A3:B3"/>
    <mergeCell ref="A5:B5"/>
  </mergeCells>
  <dataValidations count="3">
    <dataValidation type="whole" allowBlank="1" showInputMessage="1" showErrorMessage="1" errorTitle="Erreur de saisie" error="Vous devez saisir une valeur entière" sqref="B8">
      <formula1>0</formula1>
      <formula2>999999999999</formula2>
    </dataValidation>
    <dataValidation type="list" allowBlank="1" showInputMessage="1" showErrorMessage="1" errorTitle="Erreur de saisie" error="Vous devez saisir une valeur dans la liste" sqref="B9">
      <formula1>lstReponse</formula1>
    </dataValidation>
    <dataValidation type="whole" allowBlank="1" showInputMessage="1" showErrorMessage="1" errorTitle="Erreur de saisie" error="Vous devez saisir une valeur entière inférieure à 250" sqref="B10">
      <formula1>0</formula1>
      <formula2>250</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orientation="portrait" r:id="rId1"/>
  <headerFooter alignWithMargins="0">
    <oddFooter>&amp;LRSU 2020 - Présentation au CTP&amp;R&amp;P/&amp;N
&amp;A</oddFooter>
  </headerFooter>
  <legacyDrawing r:id="rId2"/>
</worksheet>
</file>

<file path=xl/worksheets/sheet51.xml><?xml version="1.0" encoding="utf-8"?>
<worksheet xmlns="http://schemas.openxmlformats.org/spreadsheetml/2006/main" xmlns:r="http://schemas.openxmlformats.org/officeDocument/2006/relationships">
  <sheetPr codeName="Feuil43">
    <pageSetUpPr fitToPage="1"/>
  </sheetPr>
  <dimension ref="A1:O61"/>
  <sheetViews>
    <sheetView showGridLines="0" zoomScaleNormal="100" zoomScaleSheetLayoutView="100" workbookViewId="0"/>
  </sheetViews>
  <sheetFormatPr baseColWidth="10" defaultColWidth="9.28515625" defaultRowHeight="12.75" customHeight="1"/>
  <cols>
    <col min="1" max="1" width="11.42578125" customWidth="1"/>
    <col min="2" max="2" width="13.140625" customWidth="1"/>
    <col min="3" max="3" width="52.42578125" customWidth="1"/>
    <col min="4" max="7" width="11.28515625" customWidth="1"/>
    <col min="8" max="9" width="10.42578125" customWidth="1"/>
    <col min="10" max="10" width="8.140625" customWidth="1"/>
    <col min="11" max="11" width="9.28515625" customWidth="1"/>
    <col min="12" max="12" width="9.42578125" customWidth="1"/>
    <col min="13" max="13" width="9" customWidth="1"/>
    <col min="14" max="14" width="9.140625" customWidth="1"/>
    <col min="15" max="15" width="11.42578125" customWidth="1"/>
    <col min="16" max="253" width="9.28515625" customWidth="1"/>
  </cols>
  <sheetData>
    <row r="1" spans="1:14" ht="17.100000000000001" customHeight="1">
      <c r="D1" s="2245" t="s">
        <v>958</v>
      </c>
      <c r="E1" s="2245"/>
    </row>
    <row r="2" spans="1:14" ht="15" customHeight="1" thickBot="1"/>
    <row r="3" spans="1:14" ht="39.950000000000003" customHeight="1" thickBot="1">
      <c r="A3" s="2617" t="s">
        <v>2362</v>
      </c>
      <c r="B3" s="2618"/>
      <c r="C3" s="2618"/>
      <c r="D3" s="2618"/>
      <c r="E3" s="2618"/>
      <c r="F3" s="2618"/>
      <c r="G3" s="2618"/>
      <c r="H3" s="2618"/>
      <c r="I3" s="2618"/>
      <c r="J3" s="2618"/>
      <c r="K3" s="2618"/>
      <c r="L3" s="2618"/>
      <c r="M3" s="2618"/>
      <c r="N3" s="2619"/>
    </row>
    <row r="4" spans="1:14" ht="16.5" customHeight="1">
      <c r="A4" s="2620" t="s">
        <v>2602</v>
      </c>
      <c r="B4" s="2621"/>
      <c r="C4" s="2621"/>
      <c r="D4" s="2621"/>
      <c r="E4" s="2621"/>
      <c r="F4" s="2621"/>
      <c r="G4" s="2621"/>
      <c r="H4" s="2621"/>
      <c r="I4" s="2621"/>
      <c r="J4" s="2621"/>
      <c r="K4" s="2621"/>
      <c r="L4" s="2621"/>
      <c r="M4" s="2621"/>
      <c r="N4" s="2621"/>
    </row>
    <row r="5" spans="1:14" ht="17.25" hidden="1" customHeight="1">
      <c r="A5" s="308"/>
      <c r="B5" s="304"/>
      <c r="C5" s="298"/>
      <c r="D5" s="298"/>
      <c r="E5" s="298"/>
      <c r="F5" s="298"/>
      <c r="G5" s="299"/>
      <c r="H5" s="299"/>
      <c r="I5" s="299"/>
      <c r="J5" s="299"/>
      <c r="K5" s="299"/>
      <c r="L5" s="299"/>
      <c r="M5" s="299"/>
      <c r="N5" s="299"/>
    </row>
    <row r="6" spans="1:14" ht="12.95" customHeight="1">
      <c r="A6" s="2622" t="s">
        <v>1294</v>
      </c>
      <c r="B6" s="2623"/>
      <c r="C6" s="2623"/>
      <c r="D6" s="2623"/>
      <c r="E6" s="2623"/>
      <c r="F6" s="2623"/>
      <c r="G6" s="2623"/>
      <c r="H6" s="2623"/>
      <c r="I6" s="2623"/>
      <c r="J6" s="2623"/>
      <c r="K6" s="2623"/>
      <c r="L6" s="2623"/>
      <c r="M6" s="2623"/>
      <c r="N6" s="2623"/>
    </row>
    <row r="7" spans="1:14" ht="12.95" customHeight="1">
      <c r="A7" s="2627" t="s">
        <v>826</v>
      </c>
      <c r="B7" s="2305"/>
      <c r="C7" s="2305"/>
      <c r="D7" s="2305"/>
      <c r="E7" s="2305"/>
      <c r="F7" s="2305"/>
      <c r="G7" s="2305"/>
      <c r="H7" s="2305"/>
      <c r="I7" s="2305"/>
      <c r="J7" s="2305"/>
      <c r="K7" s="2305"/>
      <c r="L7" s="2305"/>
      <c r="M7" s="2305"/>
      <c r="N7" s="2305"/>
    </row>
    <row r="8" spans="1:14" ht="12.95" customHeight="1">
      <c r="A8" s="2624" t="s">
        <v>827</v>
      </c>
      <c r="B8" s="2625"/>
      <c r="C8" s="2625"/>
      <c r="D8" s="2625"/>
      <c r="E8" s="2625"/>
      <c r="F8" s="2625"/>
      <c r="G8" s="2626"/>
      <c r="H8" s="2626"/>
    </row>
    <row r="9" spans="1:14" ht="12.95" customHeight="1" thickBot="1"/>
    <row r="10" spans="1:14" ht="31.5" customHeight="1" thickBot="1">
      <c r="D10" s="2615" t="s">
        <v>1755</v>
      </c>
      <c r="E10" s="2616"/>
      <c r="F10" s="2614" t="s">
        <v>856</v>
      </c>
      <c r="G10" s="2614"/>
      <c r="H10" s="2614" t="s">
        <v>857</v>
      </c>
      <c r="I10" s="2614"/>
    </row>
    <row r="11" spans="1:14" ht="47.25" customHeight="1">
      <c r="D11" s="2615"/>
      <c r="E11" s="2616"/>
      <c r="F11" s="2614"/>
      <c r="G11" s="2614"/>
      <c r="H11" s="2614"/>
      <c r="I11" s="2614"/>
    </row>
    <row r="12" spans="1:14" ht="12.95" customHeight="1" thickBot="1">
      <c r="D12" s="1029" t="s">
        <v>707</v>
      </c>
      <c r="E12" s="321" t="s">
        <v>708</v>
      </c>
      <c r="F12" s="321" t="s">
        <v>707</v>
      </c>
      <c r="G12" s="322" t="s">
        <v>708</v>
      </c>
      <c r="H12" s="321" t="s">
        <v>707</v>
      </c>
      <c r="I12" s="322" t="s">
        <v>708</v>
      </c>
    </row>
    <row r="13" spans="1:14" ht="29.25" hidden="1" customHeight="1">
      <c r="D13" s="304" t="s">
        <v>858</v>
      </c>
      <c r="E13" s="304" t="s">
        <v>859</v>
      </c>
      <c r="F13" s="304" t="s">
        <v>860</v>
      </c>
      <c r="G13" s="323" t="s">
        <v>861</v>
      </c>
      <c r="H13" s="436"/>
      <c r="I13" s="324"/>
      <c r="J13" s="298"/>
    </row>
    <row r="14" spans="1:14" ht="18" customHeight="1" thickBot="1">
      <c r="D14" s="1211">
        <v>1</v>
      </c>
      <c r="E14" s="1211">
        <v>2</v>
      </c>
      <c r="F14" s="1211">
        <v>1</v>
      </c>
      <c r="G14" s="1211">
        <v>2</v>
      </c>
      <c r="H14" s="1215">
        <v>1</v>
      </c>
      <c r="I14" s="1211">
        <v>2</v>
      </c>
      <c r="J14" s="1211" t="s">
        <v>1941</v>
      </c>
    </row>
    <row r="15" spans="1:14" ht="21" customHeight="1">
      <c r="A15" s="2601" t="s">
        <v>1316</v>
      </c>
      <c r="B15" s="2603" t="s">
        <v>1315</v>
      </c>
      <c r="C15" s="310" t="s">
        <v>1676</v>
      </c>
      <c r="D15" s="623">
        <v>325</v>
      </c>
      <c r="E15" s="624">
        <v>877</v>
      </c>
      <c r="F15" s="1035">
        <v>21178</v>
      </c>
      <c r="G15" s="1032">
        <v>70169.5</v>
      </c>
      <c r="H15" s="649">
        <v>887</v>
      </c>
      <c r="I15" s="650">
        <v>2556</v>
      </c>
      <c r="J15" s="1231" t="s">
        <v>695</v>
      </c>
    </row>
    <row r="16" spans="1:14" ht="21" customHeight="1">
      <c r="A16" s="2602"/>
      <c r="B16" s="2604"/>
      <c r="C16" s="311" t="s">
        <v>1677</v>
      </c>
      <c r="D16" s="625">
        <v>50</v>
      </c>
      <c r="E16" s="625">
        <v>55</v>
      </c>
      <c r="F16" s="1036">
        <v>7239</v>
      </c>
      <c r="G16" s="1034">
        <v>9255.5</v>
      </c>
      <c r="H16" s="651">
        <v>95</v>
      </c>
      <c r="I16" s="652">
        <v>122</v>
      </c>
      <c r="J16" s="1231" t="s">
        <v>181</v>
      </c>
    </row>
    <row r="17" spans="1:10" ht="21" customHeight="1">
      <c r="A17" s="2602"/>
      <c r="B17" s="2604"/>
      <c r="C17" s="311" t="s">
        <v>1678</v>
      </c>
      <c r="D17" s="625">
        <v>7</v>
      </c>
      <c r="E17" s="625">
        <v>12</v>
      </c>
      <c r="F17" s="1036">
        <v>747</v>
      </c>
      <c r="G17" s="1034">
        <v>1692</v>
      </c>
      <c r="H17" s="651">
        <v>12</v>
      </c>
      <c r="I17" s="652">
        <v>26</v>
      </c>
      <c r="J17" s="1231" t="s">
        <v>183</v>
      </c>
    </row>
    <row r="18" spans="1:10" ht="21" customHeight="1">
      <c r="A18" s="2602"/>
      <c r="B18" s="2605" t="s">
        <v>1317</v>
      </c>
      <c r="C18" s="312" t="s">
        <v>1679</v>
      </c>
      <c r="D18" s="625">
        <v>33</v>
      </c>
      <c r="E18" s="625">
        <v>97</v>
      </c>
      <c r="F18" s="1036">
        <v>6919.5</v>
      </c>
      <c r="G18" s="1034">
        <v>24448.5</v>
      </c>
      <c r="H18" s="651">
        <v>309</v>
      </c>
      <c r="I18" s="652">
        <v>721</v>
      </c>
      <c r="J18" s="1231" t="s">
        <v>179</v>
      </c>
    </row>
    <row r="19" spans="1:10" ht="22.5" customHeight="1">
      <c r="A19" s="2602"/>
      <c r="B19" s="2606"/>
      <c r="C19" s="312" t="s">
        <v>1680</v>
      </c>
      <c r="D19" s="625">
        <v>20</v>
      </c>
      <c r="E19" s="625">
        <v>58</v>
      </c>
      <c r="F19" s="1036">
        <v>6718</v>
      </c>
      <c r="G19" s="1034">
        <v>20458</v>
      </c>
      <c r="H19" s="651">
        <v>21</v>
      </c>
      <c r="I19" s="652">
        <v>108</v>
      </c>
      <c r="J19" s="1231" t="s">
        <v>1912</v>
      </c>
    </row>
    <row r="20" spans="1:10" ht="28.5" customHeight="1">
      <c r="A20" s="2602"/>
      <c r="B20" s="2607"/>
      <c r="C20" s="311" t="s">
        <v>726</v>
      </c>
      <c r="D20" s="625">
        <v>2</v>
      </c>
      <c r="E20" s="625">
        <v>3</v>
      </c>
      <c r="F20" s="1036">
        <v>423</v>
      </c>
      <c r="G20" s="1034">
        <v>809</v>
      </c>
      <c r="H20" s="651">
        <v>3</v>
      </c>
      <c r="I20" s="652">
        <v>4</v>
      </c>
      <c r="J20" s="1231" t="s">
        <v>184</v>
      </c>
    </row>
    <row r="21" spans="1:10" ht="21" customHeight="1">
      <c r="A21" s="2602" t="s">
        <v>1318</v>
      </c>
      <c r="B21" s="2602"/>
      <c r="C21" s="311" t="s">
        <v>570</v>
      </c>
      <c r="D21" s="361"/>
      <c r="E21" s="625">
        <v>24</v>
      </c>
      <c r="F21" s="362"/>
      <c r="G21" s="1034">
        <v>7861</v>
      </c>
      <c r="H21" s="361"/>
      <c r="I21" s="652">
        <v>78</v>
      </c>
      <c r="J21" s="1231" t="s">
        <v>2027</v>
      </c>
    </row>
    <row r="22" spans="1:10" ht="42.75" customHeight="1">
      <c r="A22" s="2602"/>
      <c r="B22" s="2602"/>
      <c r="C22" s="311" t="s">
        <v>571</v>
      </c>
      <c r="D22" s="625">
        <v>34</v>
      </c>
      <c r="E22" s="626">
        <v>4</v>
      </c>
      <c r="F22" s="1036">
        <v>517</v>
      </c>
      <c r="G22" s="1037">
        <v>23</v>
      </c>
      <c r="H22" s="651">
        <v>0</v>
      </c>
      <c r="I22" s="653">
        <v>0</v>
      </c>
      <c r="J22" s="1231" t="s">
        <v>185</v>
      </c>
    </row>
    <row r="23" spans="1:10" ht="66" customHeight="1">
      <c r="A23" s="2602"/>
      <c r="B23" s="2602"/>
      <c r="C23" s="325" t="s">
        <v>727</v>
      </c>
      <c r="D23" s="625">
        <v>1063</v>
      </c>
      <c r="E23" s="625">
        <v>2601</v>
      </c>
      <c r="F23" s="1038">
        <v>38693</v>
      </c>
      <c r="G23" s="1034">
        <v>86004.5</v>
      </c>
      <c r="H23" s="693"/>
      <c r="I23" s="694"/>
      <c r="J23" s="1232" t="s">
        <v>186</v>
      </c>
    </row>
    <row r="24" spans="1:10" ht="15" customHeight="1" thickBot="1">
      <c r="C24" s="498" t="s">
        <v>768</v>
      </c>
      <c r="D24" s="499">
        <f t="shared" ref="D24:I24" si="0">SUM(D15:D23)</f>
        <v>1534</v>
      </c>
      <c r="E24" s="499">
        <f t="shared" si="0"/>
        <v>3731</v>
      </c>
      <c r="F24" s="500">
        <f t="shared" si="0"/>
        <v>82434.5</v>
      </c>
      <c r="G24" s="500">
        <f t="shared" si="0"/>
        <v>220721</v>
      </c>
      <c r="H24" s="501">
        <f t="shared" si="0"/>
        <v>1327</v>
      </c>
      <c r="I24" s="502">
        <f t="shared" si="0"/>
        <v>3615</v>
      </c>
      <c r="J24" s="1232" t="s">
        <v>697</v>
      </c>
    </row>
    <row r="25" spans="1:10" ht="15" customHeight="1"/>
    <row r="26" spans="1:10" ht="15" customHeight="1">
      <c r="C26" s="326" t="s">
        <v>2019</v>
      </c>
    </row>
    <row r="27" spans="1:10" ht="15" customHeight="1">
      <c r="C27" s="326" t="s">
        <v>1882</v>
      </c>
    </row>
    <row r="28" spans="1:10" ht="15" customHeight="1">
      <c r="C28" s="326"/>
    </row>
    <row r="29" spans="1:10" ht="15" customHeight="1">
      <c r="C29" s="326" t="s">
        <v>1758</v>
      </c>
    </row>
    <row r="30" spans="1:10" ht="15" customHeight="1">
      <c r="C30" s="326" t="s">
        <v>1759</v>
      </c>
    </row>
    <row r="31" spans="1:10" ht="15" customHeight="1">
      <c r="C31" s="326" t="s">
        <v>2018</v>
      </c>
    </row>
    <row r="32" spans="1:10" ht="15" customHeight="1" thickBot="1"/>
    <row r="33" spans="1:15" ht="17.25" customHeight="1">
      <c r="D33" s="2608" t="s">
        <v>2363</v>
      </c>
      <c r="E33" s="2609"/>
      <c r="F33" s="2609"/>
      <c r="G33" s="2609"/>
      <c r="H33" s="2609"/>
      <c r="I33" s="2609"/>
      <c r="J33" s="2609"/>
      <c r="K33" s="2609"/>
      <c r="L33" s="2609"/>
      <c r="M33" s="2609"/>
      <c r="N33" s="2610"/>
    </row>
    <row r="34" spans="1:15" ht="12.95" hidden="1" customHeight="1">
      <c r="D34" s="243"/>
      <c r="E34" s="243"/>
      <c r="F34" s="243"/>
      <c r="G34" s="243"/>
      <c r="H34" s="243"/>
      <c r="I34" s="243"/>
      <c r="J34" s="243"/>
      <c r="K34" s="243"/>
      <c r="L34" s="243"/>
      <c r="M34" s="243"/>
      <c r="N34" s="320"/>
    </row>
    <row r="35" spans="1:15" ht="18" hidden="1" customHeight="1">
      <c r="D35" s="304"/>
      <c r="E35" s="304"/>
      <c r="F35" s="304"/>
      <c r="G35" s="308"/>
      <c r="H35" s="308"/>
      <c r="I35" s="308"/>
      <c r="J35" s="308"/>
      <c r="K35" s="308"/>
      <c r="L35" s="308"/>
      <c r="M35" s="308"/>
      <c r="N35" s="327"/>
    </row>
    <row r="36" spans="1:15" ht="30" customHeight="1" thickBot="1">
      <c r="D36" s="328" t="s">
        <v>830</v>
      </c>
      <c r="E36" s="329" t="s">
        <v>831</v>
      </c>
      <c r="F36" s="329" t="s">
        <v>832</v>
      </c>
      <c r="G36" s="329" t="s">
        <v>833</v>
      </c>
      <c r="H36" s="329" t="s">
        <v>834</v>
      </c>
      <c r="I36" s="329" t="s">
        <v>835</v>
      </c>
      <c r="J36" s="329" t="s">
        <v>836</v>
      </c>
      <c r="K36" s="329" t="s">
        <v>837</v>
      </c>
      <c r="L36" s="329" t="s">
        <v>838</v>
      </c>
      <c r="M36" s="329" t="s">
        <v>1751</v>
      </c>
      <c r="N36" s="330" t="s">
        <v>696</v>
      </c>
    </row>
    <row r="37" spans="1:15" ht="15" hidden="1" customHeight="1">
      <c r="D37" s="304" t="s">
        <v>839</v>
      </c>
      <c r="E37" s="304" t="s">
        <v>341</v>
      </c>
      <c r="F37" s="304" t="s">
        <v>342</v>
      </c>
      <c r="G37" s="304" t="s">
        <v>343</v>
      </c>
      <c r="H37" s="304" t="s">
        <v>344</v>
      </c>
      <c r="I37" s="304" t="s">
        <v>345</v>
      </c>
      <c r="J37" s="304" t="s">
        <v>346</v>
      </c>
      <c r="K37" s="304" t="s">
        <v>347</v>
      </c>
      <c r="L37" s="304" t="s">
        <v>348</v>
      </c>
      <c r="M37" s="304" t="s">
        <v>349</v>
      </c>
      <c r="N37" s="327"/>
      <c r="O37" s="1003" t="s">
        <v>1942</v>
      </c>
    </row>
    <row r="38" spans="1:15" ht="21" customHeight="1" thickBot="1">
      <c r="D38" s="1233" t="s">
        <v>695</v>
      </c>
      <c r="E38" s="1233" t="s">
        <v>179</v>
      </c>
      <c r="F38" s="1233" t="s">
        <v>181</v>
      </c>
      <c r="G38" s="1233" t="s">
        <v>183</v>
      </c>
      <c r="H38" s="1233" t="s">
        <v>184</v>
      </c>
      <c r="I38" s="1233" t="s">
        <v>2027</v>
      </c>
      <c r="J38" s="1233" t="s">
        <v>185</v>
      </c>
      <c r="K38" s="1233" t="s">
        <v>1749</v>
      </c>
      <c r="L38" s="1233" t="s">
        <v>186</v>
      </c>
      <c r="M38" s="1219">
        <v>10</v>
      </c>
      <c r="N38" s="1233" t="s">
        <v>697</v>
      </c>
      <c r="O38" s="1229" t="s">
        <v>1942</v>
      </c>
    </row>
    <row r="39" spans="1:15" ht="21" customHeight="1">
      <c r="A39" s="2601" t="s">
        <v>1316</v>
      </c>
      <c r="B39" s="2603" t="s">
        <v>1315</v>
      </c>
      <c r="C39" s="310" t="s">
        <v>1676</v>
      </c>
      <c r="D39" s="623">
        <v>10</v>
      </c>
      <c r="E39" s="623">
        <v>65</v>
      </c>
      <c r="F39" s="623">
        <v>108</v>
      </c>
      <c r="G39" s="623">
        <v>106</v>
      </c>
      <c r="H39" s="624">
        <v>139</v>
      </c>
      <c r="I39" s="623">
        <v>168</v>
      </c>
      <c r="J39" s="623">
        <v>214</v>
      </c>
      <c r="K39" s="623">
        <v>243</v>
      </c>
      <c r="L39" s="623">
        <v>144</v>
      </c>
      <c r="M39" s="654">
        <v>5</v>
      </c>
      <c r="N39" s="504">
        <f t="shared" ref="N39:N44" si="1">SUM(D39:M39)</f>
        <v>1202</v>
      </c>
      <c r="O39" s="1232" t="s">
        <v>695</v>
      </c>
    </row>
    <row r="40" spans="1:15" ht="21" customHeight="1">
      <c r="A40" s="2602"/>
      <c r="B40" s="2604"/>
      <c r="C40" s="311" t="s">
        <v>1677</v>
      </c>
      <c r="D40" s="625">
        <v>1</v>
      </c>
      <c r="E40" s="625">
        <v>9</v>
      </c>
      <c r="F40" s="625">
        <v>13</v>
      </c>
      <c r="G40" s="625">
        <v>7</v>
      </c>
      <c r="H40" s="625">
        <v>10</v>
      </c>
      <c r="I40" s="625">
        <v>12</v>
      </c>
      <c r="J40" s="625">
        <v>20</v>
      </c>
      <c r="K40" s="625">
        <v>25</v>
      </c>
      <c r="L40" s="625">
        <v>8</v>
      </c>
      <c r="M40" s="655">
        <v>0</v>
      </c>
      <c r="N40" s="505">
        <f t="shared" si="1"/>
        <v>105</v>
      </c>
      <c r="O40" s="1232" t="s">
        <v>181</v>
      </c>
    </row>
    <row r="41" spans="1:15" ht="21" customHeight="1">
      <c r="A41" s="2602"/>
      <c r="B41" s="2604"/>
      <c r="C41" s="311" t="s">
        <v>1678</v>
      </c>
      <c r="D41" s="625">
        <v>0</v>
      </c>
      <c r="E41" s="625">
        <v>1</v>
      </c>
      <c r="F41" s="625">
        <v>1</v>
      </c>
      <c r="G41" s="625">
        <v>2</v>
      </c>
      <c r="H41" s="625">
        <v>1</v>
      </c>
      <c r="I41" s="625">
        <v>3</v>
      </c>
      <c r="J41" s="625">
        <v>6</v>
      </c>
      <c r="K41" s="625">
        <v>3</v>
      </c>
      <c r="L41" s="625">
        <v>2</v>
      </c>
      <c r="M41" s="655">
        <v>0</v>
      </c>
      <c r="N41" s="505">
        <f t="shared" si="1"/>
        <v>19</v>
      </c>
      <c r="O41" s="1232" t="s">
        <v>183</v>
      </c>
    </row>
    <row r="42" spans="1:15" ht="21" customHeight="1">
      <c r="A42" s="2602"/>
      <c r="B42" s="2605" t="s">
        <v>1317</v>
      </c>
      <c r="C42" s="312" t="s">
        <v>1679</v>
      </c>
      <c r="D42" s="625">
        <v>0</v>
      </c>
      <c r="E42" s="625">
        <v>1</v>
      </c>
      <c r="F42" s="625">
        <v>4</v>
      </c>
      <c r="G42" s="625">
        <v>8</v>
      </c>
      <c r="H42" s="625">
        <v>11</v>
      </c>
      <c r="I42" s="625">
        <v>20</v>
      </c>
      <c r="J42" s="625">
        <v>29</v>
      </c>
      <c r="K42" s="625">
        <v>35</v>
      </c>
      <c r="L42" s="625">
        <v>21</v>
      </c>
      <c r="M42" s="655">
        <v>1</v>
      </c>
      <c r="N42" s="505">
        <f t="shared" si="1"/>
        <v>130</v>
      </c>
      <c r="O42" s="1232" t="s">
        <v>179</v>
      </c>
    </row>
    <row r="43" spans="1:15" ht="27.75" customHeight="1">
      <c r="A43" s="2602"/>
      <c r="B43" s="2606"/>
      <c r="C43" s="312" t="s">
        <v>1680</v>
      </c>
      <c r="D43" s="625">
        <v>0</v>
      </c>
      <c r="E43" s="625">
        <v>1</v>
      </c>
      <c r="F43" s="625">
        <v>2</v>
      </c>
      <c r="G43" s="625">
        <v>6</v>
      </c>
      <c r="H43" s="625">
        <v>6</v>
      </c>
      <c r="I43" s="625">
        <v>7</v>
      </c>
      <c r="J43" s="625">
        <v>16</v>
      </c>
      <c r="K43" s="625">
        <v>25</v>
      </c>
      <c r="L43" s="625">
        <v>15</v>
      </c>
      <c r="M43" s="655">
        <v>0</v>
      </c>
      <c r="N43" s="505">
        <f t="shared" si="1"/>
        <v>78</v>
      </c>
      <c r="O43" s="1232" t="s">
        <v>1912</v>
      </c>
    </row>
    <row r="44" spans="1:15" ht="26.25" customHeight="1">
      <c r="A44" s="2602"/>
      <c r="B44" s="2607"/>
      <c r="C44" s="311" t="s">
        <v>726</v>
      </c>
      <c r="D44" s="625">
        <v>0</v>
      </c>
      <c r="E44" s="625">
        <v>0</v>
      </c>
      <c r="F44" s="625">
        <v>0</v>
      </c>
      <c r="G44" s="625">
        <v>1</v>
      </c>
      <c r="H44" s="625">
        <v>0</v>
      </c>
      <c r="I44" s="625">
        <v>1</v>
      </c>
      <c r="J44" s="625">
        <v>2</v>
      </c>
      <c r="K44" s="625">
        <v>0</v>
      </c>
      <c r="L44" s="625">
        <v>1</v>
      </c>
      <c r="M44" s="655">
        <v>0</v>
      </c>
      <c r="N44" s="505">
        <f t="shared" si="1"/>
        <v>5</v>
      </c>
      <c r="O44" s="1232" t="s">
        <v>184</v>
      </c>
    </row>
    <row r="45" spans="1:15" ht="15" customHeight="1" thickBot="1">
      <c r="C45" s="503" t="s">
        <v>768</v>
      </c>
      <c r="D45" s="499">
        <f>SUM(D39:D44)</f>
        <v>11</v>
      </c>
      <c r="E45" s="499">
        <f t="shared" ref="E45:M45" si="2">SUM(E39:E44)</f>
        <v>77</v>
      </c>
      <c r="F45" s="499">
        <f t="shared" si="2"/>
        <v>128</v>
      </c>
      <c r="G45" s="499">
        <f t="shared" si="2"/>
        <v>130</v>
      </c>
      <c r="H45" s="499">
        <f t="shared" si="2"/>
        <v>167</v>
      </c>
      <c r="I45" s="499">
        <f t="shared" si="2"/>
        <v>211</v>
      </c>
      <c r="J45" s="499">
        <f t="shared" si="2"/>
        <v>287</v>
      </c>
      <c r="K45" s="499">
        <f t="shared" si="2"/>
        <v>331</v>
      </c>
      <c r="L45" s="499">
        <f t="shared" si="2"/>
        <v>191</v>
      </c>
      <c r="M45" s="499">
        <f t="shared" si="2"/>
        <v>6</v>
      </c>
      <c r="N45" s="502">
        <f>SUM(N39:N44)</f>
        <v>1539</v>
      </c>
      <c r="O45" s="1234" t="s">
        <v>697</v>
      </c>
    </row>
    <row r="47" spans="1:15">
      <c r="C47" s="382" t="s">
        <v>1757</v>
      </c>
      <c r="D47" s="243"/>
      <c r="E47" s="309"/>
      <c r="F47" s="299"/>
      <c r="G47" s="243"/>
      <c r="H47" s="243"/>
      <c r="I47" s="243"/>
      <c r="J47" s="243"/>
      <c r="K47" s="243"/>
      <c r="L47" s="243"/>
      <c r="M47" s="243"/>
      <c r="N47" s="320"/>
    </row>
    <row r="48" spans="1:15" ht="13.5" thickBot="1">
      <c r="D48" s="243"/>
      <c r="E48" s="309"/>
      <c r="F48" s="299"/>
      <c r="G48" s="243"/>
      <c r="H48" s="243"/>
      <c r="I48" s="243"/>
      <c r="J48" s="243"/>
      <c r="K48" s="243"/>
      <c r="L48" s="243"/>
      <c r="M48" s="243"/>
      <c r="N48" s="320"/>
    </row>
    <row r="49" spans="1:15">
      <c r="D49" s="2611" t="s">
        <v>2364</v>
      </c>
      <c r="E49" s="2612"/>
      <c r="F49" s="2612"/>
      <c r="G49" s="2612"/>
      <c r="H49" s="2612"/>
      <c r="I49" s="2612"/>
      <c r="J49" s="2612"/>
      <c r="K49" s="2612"/>
      <c r="L49" s="2612"/>
      <c r="M49" s="2612"/>
      <c r="N49" s="2613"/>
    </row>
    <row r="50" spans="1:15" ht="12.95" hidden="1" customHeight="1">
      <c r="D50" s="243"/>
      <c r="E50" s="309"/>
      <c r="F50" s="299"/>
      <c r="G50" s="243"/>
      <c r="H50" s="243"/>
      <c r="I50" s="243"/>
      <c r="J50" s="243"/>
      <c r="K50" s="243"/>
      <c r="L50" s="243"/>
      <c r="M50" s="243"/>
      <c r="N50" s="320"/>
    </row>
    <row r="51" spans="1:15" ht="18" hidden="1" customHeight="1" thickBot="1">
      <c r="D51" s="304"/>
      <c r="E51" s="304"/>
      <c r="F51" s="304"/>
      <c r="G51" s="308"/>
      <c r="H51" s="308"/>
      <c r="I51" s="308"/>
      <c r="J51" s="308"/>
      <c r="K51" s="308"/>
      <c r="L51" s="308"/>
      <c r="M51" s="308"/>
      <c r="N51" s="327"/>
    </row>
    <row r="52" spans="1:15" ht="36" customHeight="1" thickBot="1">
      <c r="D52" s="328" t="s">
        <v>830</v>
      </c>
      <c r="E52" s="329" t="s">
        <v>831</v>
      </c>
      <c r="F52" s="329" t="s">
        <v>832</v>
      </c>
      <c r="G52" s="329" t="s">
        <v>833</v>
      </c>
      <c r="H52" s="329" t="s">
        <v>834</v>
      </c>
      <c r="I52" s="329" t="s">
        <v>835</v>
      </c>
      <c r="J52" s="329" t="s">
        <v>836</v>
      </c>
      <c r="K52" s="329" t="s">
        <v>837</v>
      </c>
      <c r="L52" s="329" t="s">
        <v>838</v>
      </c>
      <c r="M52" s="329" t="s">
        <v>1751</v>
      </c>
      <c r="N52" s="330" t="s">
        <v>696</v>
      </c>
    </row>
    <row r="53" spans="1:15" ht="15" hidden="1" customHeight="1">
      <c r="D53" s="304" t="s">
        <v>839</v>
      </c>
      <c r="E53" s="304" t="s">
        <v>341</v>
      </c>
      <c r="F53" s="304" t="s">
        <v>342</v>
      </c>
      <c r="G53" s="304" t="s">
        <v>343</v>
      </c>
      <c r="H53" s="304" t="s">
        <v>344</v>
      </c>
      <c r="I53" s="304" t="s">
        <v>345</v>
      </c>
      <c r="J53" s="304" t="s">
        <v>346</v>
      </c>
      <c r="K53" s="304" t="s">
        <v>347</v>
      </c>
      <c r="L53" s="304" t="s">
        <v>348</v>
      </c>
      <c r="M53" s="304" t="s">
        <v>349</v>
      </c>
      <c r="N53" s="327"/>
      <c r="O53" s="1003" t="s">
        <v>1942</v>
      </c>
    </row>
    <row r="54" spans="1:15" ht="21" customHeight="1" thickBot="1">
      <c r="D54" s="1233" t="s">
        <v>695</v>
      </c>
      <c r="E54" s="1233" t="s">
        <v>179</v>
      </c>
      <c r="F54" s="1233" t="s">
        <v>181</v>
      </c>
      <c r="G54" s="1233" t="s">
        <v>183</v>
      </c>
      <c r="H54" s="1233" t="s">
        <v>184</v>
      </c>
      <c r="I54" s="1233" t="s">
        <v>2027</v>
      </c>
      <c r="J54" s="1233" t="s">
        <v>185</v>
      </c>
      <c r="K54" s="1233" t="s">
        <v>1749</v>
      </c>
      <c r="L54" s="1233" t="s">
        <v>186</v>
      </c>
      <c r="M54" s="1219">
        <v>10</v>
      </c>
      <c r="N54" s="1233" t="s">
        <v>697</v>
      </c>
      <c r="O54" s="1229" t="s">
        <v>1942</v>
      </c>
    </row>
    <row r="55" spans="1:15" ht="21" customHeight="1">
      <c r="A55" s="2601" t="s">
        <v>1316</v>
      </c>
      <c r="B55" s="2603" t="s">
        <v>1315</v>
      </c>
      <c r="C55" s="310" t="s">
        <v>1676</v>
      </c>
      <c r="D55" s="1030">
        <v>311</v>
      </c>
      <c r="E55" s="1030">
        <v>4456</v>
      </c>
      <c r="F55" s="1030">
        <v>7709</v>
      </c>
      <c r="G55" s="1030">
        <v>7963</v>
      </c>
      <c r="H55" s="1031">
        <v>9816.5</v>
      </c>
      <c r="I55" s="1030">
        <v>11979</v>
      </c>
      <c r="J55" s="1030">
        <v>16179</v>
      </c>
      <c r="K55" s="1030">
        <v>20143</v>
      </c>
      <c r="L55" s="1030">
        <v>12407</v>
      </c>
      <c r="M55" s="1032">
        <v>384</v>
      </c>
      <c r="N55" s="506">
        <f t="shared" ref="N55:N60" si="3">SUM(D55:M55)</f>
        <v>91347.5</v>
      </c>
      <c r="O55" s="1232" t="s">
        <v>695</v>
      </c>
    </row>
    <row r="56" spans="1:15" ht="21" customHeight="1">
      <c r="A56" s="2602"/>
      <c r="B56" s="2604"/>
      <c r="C56" s="311" t="s">
        <v>1677</v>
      </c>
      <c r="D56" s="1033">
        <v>45</v>
      </c>
      <c r="E56" s="1033">
        <v>322</v>
      </c>
      <c r="F56" s="1033">
        <v>1727</v>
      </c>
      <c r="G56" s="1033">
        <v>1509.5</v>
      </c>
      <c r="H56" s="1033">
        <v>1348</v>
      </c>
      <c r="I56" s="1033">
        <v>1599</v>
      </c>
      <c r="J56" s="1033">
        <v>3931</v>
      </c>
      <c r="K56" s="1033">
        <v>4084</v>
      </c>
      <c r="L56" s="1033">
        <v>1929</v>
      </c>
      <c r="M56" s="1034">
        <v>0</v>
      </c>
      <c r="N56" s="507">
        <f t="shared" si="3"/>
        <v>16494.5</v>
      </c>
      <c r="O56" s="1232" t="s">
        <v>181</v>
      </c>
    </row>
    <row r="57" spans="1:15" ht="21" customHeight="1">
      <c r="A57" s="2602"/>
      <c r="B57" s="2604"/>
      <c r="C57" s="311" t="s">
        <v>1678</v>
      </c>
      <c r="D57" s="1033">
        <v>0</v>
      </c>
      <c r="E57" s="1033">
        <v>275</v>
      </c>
      <c r="F57" s="1033">
        <v>172</v>
      </c>
      <c r="G57" s="1033">
        <v>391</v>
      </c>
      <c r="H57" s="1033">
        <v>214</v>
      </c>
      <c r="I57" s="1033">
        <v>293</v>
      </c>
      <c r="J57" s="1033">
        <v>571</v>
      </c>
      <c r="K57" s="1033">
        <v>494</v>
      </c>
      <c r="L57" s="1033">
        <v>29</v>
      </c>
      <c r="M57" s="1034">
        <v>0</v>
      </c>
      <c r="N57" s="507">
        <f t="shared" si="3"/>
        <v>2439</v>
      </c>
      <c r="O57" s="1232" t="s">
        <v>183</v>
      </c>
    </row>
    <row r="58" spans="1:15" ht="21" customHeight="1">
      <c r="A58" s="2602"/>
      <c r="B58" s="2605" t="s">
        <v>1317</v>
      </c>
      <c r="C58" s="312" t="s">
        <v>1679</v>
      </c>
      <c r="D58" s="1033">
        <v>0</v>
      </c>
      <c r="E58" s="1033">
        <v>63</v>
      </c>
      <c r="F58" s="1033">
        <v>1299.5</v>
      </c>
      <c r="G58" s="1033">
        <v>2252.5</v>
      </c>
      <c r="H58" s="1033">
        <v>2040</v>
      </c>
      <c r="I58" s="1033">
        <v>3960</v>
      </c>
      <c r="J58" s="1033">
        <v>7231.5</v>
      </c>
      <c r="K58" s="1033">
        <v>8958.5</v>
      </c>
      <c r="L58" s="1033">
        <v>5512</v>
      </c>
      <c r="M58" s="1034">
        <v>51</v>
      </c>
      <c r="N58" s="507">
        <f t="shared" si="3"/>
        <v>31368</v>
      </c>
      <c r="O58" s="1232" t="s">
        <v>179</v>
      </c>
    </row>
    <row r="59" spans="1:15" ht="28.5" customHeight="1">
      <c r="A59" s="2602"/>
      <c r="B59" s="2606"/>
      <c r="C59" s="312" t="s">
        <v>1680</v>
      </c>
      <c r="D59" s="1033">
        <v>0</v>
      </c>
      <c r="E59" s="1033">
        <v>366</v>
      </c>
      <c r="F59" s="1033">
        <v>732</v>
      </c>
      <c r="G59" s="1033">
        <v>2247</v>
      </c>
      <c r="H59" s="1033">
        <v>2501</v>
      </c>
      <c r="I59" s="1033">
        <v>2235</v>
      </c>
      <c r="J59" s="1033">
        <v>5426</v>
      </c>
      <c r="K59" s="1033">
        <v>8731</v>
      </c>
      <c r="L59" s="1033">
        <v>4938</v>
      </c>
      <c r="M59" s="1034">
        <v>0</v>
      </c>
      <c r="N59" s="507">
        <f t="shared" si="3"/>
        <v>27176</v>
      </c>
      <c r="O59" s="1232" t="s">
        <v>1912</v>
      </c>
    </row>
    <row r="60" spans="1:15" ht="26.25" customHeight="1">
      <c r="A60" s="2602"/>
      <c r="B60" s="2607"/>
      <c r="C60" s="311" t="s">
        <v>726</v>
      </c>
      <c r="D60" s="1033">
        <v>0</v>
      </c>
      <c r="E60" s="1033">
        <v>0</v>
      </c>
      <c r="F60" s="1033">
        <v>0</v>
      </c>
      <c r="G60" s="1033">
        <v>201</v>
      </c>
      <c r="H60" s="1033">
        <v>0</v>
      </c>
      <c r="I60" s="1033">
        <v>285</v>
      </c>
      <c r="J60" s="1033">
        <v>380</v>
      </c>
      <c r="K60" s="1033">
        <v>0</v>
      </c>
      <c r="L60" s="1033">
        <v>366</v>
      </c>
      <c r="M60" s="1034">
        <v>0</v>
      </c>
      <c r="N60" s="507">
        <f t="shared" si="3"/>
        <v>1232</v>
      </c>
      <c r="O60" s="1232" t="s">
        <v>184</v>
      </c>
    </row>
    <row r="61" spans="1:15" ht="13.5" thickBot="1">
      <c r="C61" s="503" t="s">
        <v>768</v>
      </c>
      <c r="D61" s="695">
        <f t="shared" ref="D61:N61" si="4">SUM(D55:D60)</f>
        <v>356</v>
      </c>
      <c r="E61" s="695">
        <f t="shared" si="4"/>
        <v>5482</v>
      </c>
      <c r="F61" s="695">
        <f t="shared" si="4"/>
        <v>11639.5</v>
      </c>
      <c r="G61" s="695">
        <f t="shared" si="4"/>
        <v>14564</v>
      </c>
      <c r="H61" s="695">
        <f t="shared" si="4"/>
        <v>15919.5</v>
      </c>
      <c r="I61" s="695">
        <f t="shared" si="4"/>
        <v>20351</v>
      </c>
      <c r="J61" s="695">
        <f t="shared" si="4"/>
        <v>33718.5</v>
      </c>
      <c r="K61" s="695">
        <f t="shared" si="4"/>
        <v>42410.5</v>
      </c>
      <c r="L61" s="695">
        <f t="shared" si="4"/>
        <v>25181</v>
      </c>
      <c r="M61" s="695">
        <f t="shared" si="4"/>
        <v>435</v>
      </c>
      <c r="N61" s="696">
        <f t="shared" si="4"/>
        <v>170057</v>
      </c>
      <c r="O61" s="1234" t="s">
        <v>697</v>
      </c>
    </row>
  </sheetData>
  <sheetProtection algorithmName="SHA-512" hashValue="TxRumcVbAHkNISfEXkqU5Py1UYehPGuFy5sOLK2yazKZ4V6U9LZWHab7X3mELxKKw7WuPXpazf2YE8vWxZ/lQw==" saltValue="Af+6r7BTmgwYCqlBKn+AGQ==" spinCount="100000" sheet="1" objects="1" scenarios="1"/>
  <mergeCells count="21">
    <mergeCell ref="D1:E1"/>
    <mergeCell ref="B18:B20"/>
    <mergeCell ref="B15:B17"/>
    <mergeCell ref="A3:N3"/>
    <mergeCell ref="A4:N4"/>
    <mergeCell ref="A6:N6"/>
    <mergeCell ref="A8:H8"/>
    <mergeCell ref="A7:N7"/>
    <mergeCell ref="A21:B23"/>
    <mergeCell ref="D33:N33"/>
    <mergeCell ref="D49:N49"/>
    <mergeCell ref="F10:G11"/>
    <mergeCell ref="D10:E11"/>
    <mergeCell ref="H10:I11"/>
    <mergeCell ref="A15:A20"/>
    <mergeCell ref="A55:A60"/>
    <mergeCell ref="B55:B57"/>
    <mergeCell ref="B58:B60"/>
    <mergeCell ref="A39:A44"/>
    <mergeCell ref="B42:B44"/>
    <mergeCell ref="B39:B41"/>
  </mergeCells>
  <dataValidations count="2">
    <dataValidation type="whole" allowBlank="1" showInputMessage="1" showErrorMessage="1" errorTitle="Erreur de saisie" error="Vous devez saisir une valeur entière" sqref="D39:M44 H22 D22:D23 I21:I22 H15:I20 D15:D20 E15:E23">
      <formula1>0</formula1>
      <formula2>999999999999</formula2>
    </dataValidation>
    <dataValidation type="decimal" allowBlank="1" showInputMessage="1" showErrorMessage="1" errorTitle="Erreur de saisie" error="Vous devez saisir une valeur décimale" sqref="F15:G20 G21 F22:G23 D55:M60">
      <formula1>0</formula1>
      <formula2>999999999999</formula2>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48" orientation="portrait" r:id="rId1"/>
  <headerFooter alignWithMargins="0">
    <oddFooter>&amp;LRSU 2020 - Présentation au CTP&amp;R&amp;P/&amp;N
&amp;A</oddFooter>
  </headerFooter>
  <rowBreaks count="1" manualBreakCount="1">
    <brk id="32" max="13" man="1"/>
  </rowBreaks>
</worksheet>
</file>

<file path=xl/worksheets/sheet52.xml><?xml version="1.0" encoding="utf-8"?>
<worksheet xmlns="http://schemas.openxmlformats.org/spreadsheetml/2006/main" xmlns:r="http://schemas.openxmlformats.org/officeDocument/2006/relationships">
  <sheetPr codeName="Feuil44">
    <pageSetUpPr fitToPage="1"/>
  </sheetPr>
  <dimension ref="A1:O58"/>
  <sheetViews>
    <sheetView showGridLines="0" workbookViewId="0"/>
  </sheetViews>
  <sheetFormatPr baseColWidth="10" defaultColWidth="11.28515625" defaultRowHeight="12.75" customHeight="1"/>
  <cols>
    <col min="1" max="1" width="15.140625" customWidth="1"/>
    <col min="2" max="2" width="13.28515625" customWidth="1"/>
    <col min="3" max="3" width="40.140625" customWidth="1"/>
    <col min="4" max="13" width="11.28515625" customWidth="1"/>
    <col min="14" max="14" width="11" customWidth="1"/>
    <col min="15" max="15" width="11.42578125" customWidth="1"/>
    <col min="16" max="250" width="11.28515625" customWidth="1"/>
  </cols>
  <sheetData>
    <row r="1" spans="1:14" ht="17.100000000000001" customHeight="1">
      <c r="D1" s="2245" t="s">
        <v>958</v>
      </c>
      <c r="E1" s="2245"/>
    </row>
    <row r="2" spans="1:14" ht="17.25" customHeight="1" thickBot="1"/>
    <row r="3" spans="1:14" ht="39.950000000000003" customHeight="1" thickBot="1">
      <c r="A3" s="2628" t="s">
        <v>2365</v>
      </c>
      <c r="B3" s="2629"/>
      <c r="C3" s="2629"/>
      <c r="D3" s="2629"/>
      <c r="E3" s="2629"/>
      <c r="F3" s="2629"/>
      <c r="G3" s="2629"/>
      <c r="H3" s="2629"/>
      <c r="I3" s="2629"/>
      <c r="J3" s="2629"/>
      <c r="K3" s="2629"/>
      <c r="L3" s="2629"/>
      <c r="M3" s="2629"/>
      <c r="N3" s="2630"/>
    </row>
    <row r="4" spans="1:14" ht="21" customHeight="1"/>
    <row r="5" spans="1:14" ht="12.95" customHeight="1">
      <c r="A5" s="2635" t="s">
        <v>2603</v>
      </c>
      <c r="B5" s="2636"/>
      <c r="C5" s="2636"/>
      <c r="D5" s="2636"/>
      <c r="E5" s="2636"/>
      <c r="F5" s="2636"/>
      <c r="G5" s="2636"/>
      <c r="H5" s="2636"/>
      <c r="I5" s="2636"/>
      <c r="J5" s="2636"/>
      <c r="K5" s="2636"/>
      <c r="L5" s="2636"/>
      <c r="M5" s="2636"/>
      <c r="N5" s="2636"/>
    </row>
    <row r="6" spans="1:14" ht="12.95" customHeight="1">
      <c r="A6" s="2622" t="s">
        <v>1294</v>
      </c>
      <c r="B6" s="2623"/>
      <c r="C6" s="2623"/>
      <c r="D6" s="2623"/>
      <c r="E6" s="2623"/>
      <c r="F6" s="2623"/>
      <c r="G6" s="2623"/>
      <c r="H6" s="2623"/>
      <c r="I6" s="2623"/>
      <c r="J6" s="2623"/>
      <c r="K6" s="2623"/>
      <c r="L6" s="2623"/>
      <c r="M6" s="2623"/>
      <c r="N6" s="2623"/>
    </row>
    <row r="7" spans="1:14" ht="12.95" customHeight="1">
      <c r="A7" s="2627" t="s">
        <v>826</v>
      </c>
      <c r="B7" s="2305"/>
      <c r="C7" s="2305"/>
      <c r="D7" s="2305"/>
      <c r="E7" s="2305"/>
      <c r="F7" s="2305"/>
      <c r="G7" s="2305"/>
      <c r="H7" s="2305"/>
      <c r="I7" s="2305"/>
      <c r="J7" s="2305"/>
      <c r="K7" s="2305"/>
      <c r="L7" s="2305"/>
      <c r="M7" s="2305"/>
      <c r="N7" s="2305"/>
    </row>
    <row r="8" spans="1:14" ht="12.95" customHeight="1">
      <c r="A8" s="2637" t="s">
        <v>25</v>
      </c>
      <c r="B8" s="2638"/>
      <c r="C8" s="2638"/>
      <c r="D8" s="2638"/>
      <c r="E8" s="2638"/>
      <c r="F8" s="2638"/>
      <c r="G8" s="2626"/>
      <c r="H8" s="2626"/>
    </row>
    <row r="9" spans="1:14" ht="17.25" customHeight="1" thickBot="1"/>
    <row r="10" spans="1:14" ht="12.95" customHeight="1" thickBot="1">
      <c r="D10" s="2631" t="s">
        <v>155</v>
      </c>
      <c r="E10" s="2632"/>
      <c r="F10" s="2633" t="s">
        <v>1756</v>
      </c>
      <c r="G10" s="2634"/>
      <c r="H10" s="2633" t="s">
        <v>857</v>
      </c>
      <c r="I10" s="2633"/>
    </row>
    <row r="11" spans="1:14" ht="21" customHeight="1">
      <c r="D11" s="2631"/>
      <c r="E11" s="2632"/>
      <c r="F11" s="2633"/>
      <c r="G11" s="2634"/>
      <c r="H11" s="2633"/>
      <c r="I11" s="2633"/>
    </row>
    <row r="12" spans="1:14" ht="51.75" customHeight="1" thickBot="1">
      <c r="D12" s="300" t="s">
        <v>707</v>
      </c>
      <c r="E12" s="301" t="s">
        <v>708</v>
      </c>
      <c r="F12" s="301" t="s">
        <v>707</v>
      </c>
      <c r="G12" s="302" t="s">
        <v>708</v>
      </c>
      <c r="H12" s="301" t="s">
        <v>707</v>
      </c>
      <c r="I12" s="303" t="s">
        <v>708</v>
      </c>
    </row>
    <row r="13" spans="1:14" ht="12.95" hidden="1" customHeight="1">
      <c r="D13" s="304" t="s">
        <v>858</v>
      </c>
      <c r="E13" s="304" t="s">
        <v>859</v>
      </c>
      <c r="F13" s="304" t="s">
        <v>860</v>
      </c>
      <c r="G13" s="305" t="s">
        <v>861</v>
      </c>
      <c r="H13" s="306"/>
      <c r="I13" s="307"/>
      <c r="J13" s="304"/>
      <c r="K13" s="304"/>
      <c r="L13" s="304"/>
      <c r="M13" s="304"/>
      <c r="N13" s="308"/>
    </row>
    <row r="14" spans="1:14" ht="15" customHeight="1" thickBot="1">
      <c r="D14" s="1211">
        <v>1</v>
      </c>
      <c r="E14" s="1211">
        <v>2</v>
      </c>
      <c r="F14" s="1211">
        <v>1</v>
      </c>
      <c r="G14" s="1211">
        <v>2</v>
      </c>
      <c r="H14" s="1215">
        <v>1</v>
      </c>
      <c r="I14" s="1211">
        <v>2</v>
      </c>
      <c r="J14" s="1211" t="s">
        <v>1941</v>
      </c>
    </row>
    <row r="15" spans="1:14" ht="21" customHeight="1">
      <c r="A15" s="2601" t="s">
        <v>1316</v>
      </c>
      <c r="B15" s="2603" t="s">
        <v>1315</v>
      </c>
      <c r="C15" s="310" t="s">
        <v>1676</v>
      </c>
      <c r="D15" s="697">
        <v>54</v>
      </c>
      <c r="E15" s="624">
        <v>197</v>
      </c>
      <c r="F15" s="1035">
        <v>1736</v>
      </c>
      <c r="G15" s="1032">
        <v>9064</v>
      </c>
      <c r="H15" s="656">
        <v>109</v>
      </c>
      <c r="I15" s="657">
        <v>523</v>
      </c>
      <c r="J15" s="1231" t="s">
        <v>695</v>
      </c>
    </row>
    <row r="16" spans="1:14" ht="21" customHeight="1">
      <c r="A16" s="2602"/>
      <c r="B16" s="2604"/>
      <c r="C16" s="311" t="s">
        <v>1677</v>
      </c>
      <c r="D16" s="698">
        <v>9</v>
      </c>
      <c r="E16" s="625">
        <v>12</v>
      </c>
      <c r="F16" s="1036">
        <v>635</v>
      </c>
      <c r="G16" s="1034">
        <v>777</v>
      </c>
      <c r="H16" s="658">
        <v>11</v>
      </c>
      <c r="I16" s="659">
        <v>32</v>
      </c>
      <c r="J16" s="1231" t="s">
        <v>181</v>
      </c>
    </row>
    <row r="17" spans="1:10" ht="21" customHeight="1">
      <c r="A17" s="2602"/>
      <c r="B17" s="2604"/>
      <c r="C17" s="311" t="s">
        <v>1678</v>
      </c>
      <c r="D17" s="698">
        <v>4</v>
      </c>
      <c r="E17" s="625">
        <v>1</v>
      </c>
      <c r="F17" s="1036">
        <v>456</v>
      </c>
      <c r="G17" s="1034">
        <v>134</v>
      </c>
      <c r="H17" s="658">
        <v>12</v>
      </c>
      <c r="I17" s="659">
        <v>6</v>
      </c>
      <c r="J17" s="1231" t="s">
        <v>183</v>
      </c>
    </row>
    <row r="18" spans="1:10" ht="24.75" customHeight="1">
      <c r="A18" s="2602"/>
      <c r="B18" s="2605" t="s">
        <v>1317</v>
      </c>
      <c r="C18" s="312" t="s">
        <v>1679</v>
      </c>
      <c r="D18" s="699"/>
      <c r="E18" s="625"/>
      <c r="F18" s="1036"/>
      <c r="G18" s="1034"/>
      <c r="H18" s="658"/>
      <c r="I18" s="659"/>
      <c r="J18" s="1231" t="s">
        <v>179</v>
      </c>
    </row>
    <row r="19" spans="1:10" ht="21" customHeight="1">
      <c r="A19" s="2602"/>
      <c r="B19" s="2606"/>
      <c r="C19" s="312" t="s">
        <v>1680</v>
      </c>
      <c r="D19" s="699"/>
      <c r="E19" s="625"/>
      <c r="F19" s="1036"/>
      <c r="G19" s="1034"/>
      <c r="H19" s="658"/>
      <c r="I19" s="659"/>
      <c r="J19" s="1231" t="s">
        <v>1912</v>
      </c>
    </row>
    <row r="20" spans="1:10" ht="27.75" customHeight="1">
      <c r="A20" s="2602"/>
      <c r="B20" s="2607"/>
      <c r="C20" s="311" t="s">
        <v>728</v>
      </c>
      <c r="D20" s="698">
        <v>0</v>
      </c>
      <c r="E20" s="625">
        <v>3</v>
      </c>
      <c r="F20" s="1036">
        <v>0</v>
      </c>
      <c r="G20" s="1034">
        <v>135</v>
      </c>
      <c r="H20" s="658">
        <v>0</v>
      </c>
      <c r="I20" s="659">
        <v>3</v>
      </c>
      <c r="J20" s="1231" t="s">
        <v>184</v>
      </c>
    </row>
    <row r="21" spans="1:10" ht="21" customHeight="1">
      <c r="A21" s="2602" t="s">
        <v>1318</v>
      </c>
      <c r="B21" s="2602"/>
      <c r="C21" s="313" t="s">
        <v>570</v>
      </c>
      <c r="D21" s="363"/>
      <c r="E21" s="625">
        <v>6</v>
      </c>
      <c r="F21" s="364"/>
      <c r="G21" s="1034">
        <v>2275</v>
      </c>
      <c r="H21" s="660"/>
      <c r="I21" s="652">
        <v>24</v>
      </c>
      <c r="J21" s="1231" t="s">
        <v>2027</v>
      </c>
    </row>
    <row r="22" spans="1:10" ht="78" customHeight="1">
      <c r="A22" s="2602"/>
      <c r="B22" s="2602"/>
      <c r="C22" s="313" t="s">
        <v>287</v>
      </c>
      <c r="D22" s="627">
        <v>12</v>
      </c>
      <c r="E22" s="626">
        <v>0</v>
      </c>
      <c r="F22" s="1036">
        <v>164</v>
      </c>
      <c r="G22" s="1037">
        <v>0</v>
      </c>
      <c r="H22" s="651">
        <v>0</v>
      </c>
      <c r="I22" s="653">
        <v>0</v>
      </c>
      <c r="J22" s="1231" t="s">
        <v>1749</v>
      </c>
    </row>
    <row r="23" spans="1:10" ht="74.25" customHeight="1">
      <c r="A23" s="2602"/>
      <c r="B23" s="2602"/>
      <c r="C23" s="314" t="s">
        <v>727</v>
      </c>
      <c r="D23" s="627">
        <v>229</v>
      </c>
      <c r="E23" s="625">
        <v>600</v>
      </c>
      <c r="F23" s="1038">
        <v>13188</v>
      </c>
      <c r="G23" s="1034">
        <v>24822</v>
      </c>
      <c r="H23" s="661"/>
      <c r="I23" s="662"/>
      <c r="J23" s="1232" t="s">
        <v>186</v>
      </c>
    </row>
    <row r="24" spans="1:10" ht="21" customHeight="1" thickBot="1">
      <c r="C24" s="508" t="s">
        <v>768</v>
      </c>
      <c r="D24" s="509">
        <f t="shared" ref="D24:I24" si="0">SUM(D15:D23)</f>
        <v>308</v>
      </c>
      <c r="E24" s="510">
        <f t="shared" si="0"/>
        <v>819</v>
      </c>
      <c r="F24" s="511">
        <f t="shared" si="0"/>
        <v>16179</v>
      </c>
      <c r="G24" s="511">
        <f t="shared" si="0"/>
        <v>37207</v>
      </c>
      <c r="H24" s="512">
        <f t="shared" si="0"/>
        <v>132</v>
      </c>
      <c r="I24" s="513">
        <f t="shared" si="0"/>
        <v>588</v>
      </c>
      <c r="J24" s="1232" t="s">
        <v>697</v>
      </c>
    </row>
    <row r="25" spans="1:10" ht="15" customHeight="1"/>
    <row r="26" spans="1:10" ht="15" customHeight="1">
      <c r="C26" s="315" t="s">
        <v>2019</v>
      </c>
    </row>
    <row r="27" spans="1:10" ht="15" customHeight="1">
      <c r="C27" s="326" t="s">
        <v>1882</v>
      </c>
    </row>
    <row r="28" spans="1:10" ht="15" customHeight="1">
      <c r="C28" s="546"/>
    </row>
    <row r="29" spans="1:10" ht="15" customHeight="1">
      <c r="C29" s="315" t="s">
        <v>1758</v>
      </c>
    </row>
    <row r="30" spans="1:10" ht="15" customHeight="1">
      <c r="C30" s="315" t="s">
        <v>1760</v>
      </c>
    </row>
    <row r="31" spans="1:10" ht="15" customHeight="1">
      <c r="C31" s="315" t="s">
        <v>2018</v>
      </c>
    </row>
    <row r="32" spans="1:10" ht="15" customHeight="1" thickBot="1"/>
    <row r="33" spans="1:15" ht="20.25" customHeight="1">
      <c r="D33" s="2639" t="s">
        <v>2366</v>
      </c>
      <c r="E33" s="2640"/>
      <c r="F33" s="2640"/>
      <c r="G33" s="2640"/>
      <c r="H33" s="2640"/>
      <c r="I33" s="2640"/>
      <c r="J33" s="2640"/>
      <c r="K33" s="2640"/>
      <c r="L33" s="2640"/>
      <c r="M33" s="2640"/>
      <c r="N33" s="2641"/>
    </row>
    <row r="34" spans="1:15" ht="12.95" hidden="1" customHeight="1">
      <c r="D34" s="304"/>
      <c r="E34" s="304"/>
      <c r="F34" s="304"/>
      <c r="G34" s="308"/>
      <c r="H34" s="308"/>
      <c r="I34" s="308"/>
      <c r="J34" s="308"/>
      <c r="K34" s="308"/>
      <c r="L34" s="308"/>
      <c r="M34" s="308"/>
      <c r="N34" s="308"/>
    </row>
    <row r="35" spans="1:15" ht="36.75" customHeight="1" thickBot="1">
      <c r="D35" s="316" t="s">
        <v>830</v>
      </c>
      <c r="E35" s="317" t="s">
        <v>831</v>
      </c>
      <c r="F35" s="317" t="s">
        <v>832</v>
      </c>
      <c r="G35" s="317" t="s">
        <v>833</v>
      </c>
      <c r="H35" s="317" t="s">
        <v>834</v>
      </c>
      <c r="I35" s="317" t="s">
        <v>835</v>
      </c>
      <c r="J35" s="317" t="s">
        <v>836</v>
      </c>
      <c r="K35" s="317" t="s">
        <v>837</v>
      </c>
      <c r="L35" s="317" t="s">
        <v>838</v>
      </c>
      <c r="M35" s="318" t="s">
        <v>1751</v>
      </c>
      <c r="N35" s="319" t="s">
        <v>696</v>
      </c>
    </row>
    <row r="36" spans="1:15" ht="15" customHeight="1" thickBot="1">
      <c r="D36" s="1233" t="s">
        <v>695</v>
      </c>
      <c r="E36" s="1233" t="s">
        <v>179</v>
      </c>
      <c r="F36" s="1233" t="s">
        <v>181</v>
      </c>
      <c r="G36" s="1233" t="s">
        <v>183</v>
      </c>
      <c r="H36" s="1233" t="s">
        <v>184</v>
      </c>
      <c r="I36" s="1233" t="s">
        <v>2027</v>
      </c>
      <c r="J36" s="1233" t="s">
        <v>185</v>
      </c>
      <c r="K36" s="1233" t="s">
        <v>1749</v>
      </c>
      <c r="L36" s="1233" t="s">
        <v>186</v>
      </c>
      <c r="M36" s="1219">
        <v>10</v>
      </c>
      <c r="N36" s="1233" t="s">
        <v>697</v>
      </c>
      <c r="O36" s="1229" t="s">
        <v>1942</v>
      </c>
    </row>
    <row r="37" spans="1:15" ht="21" customHeight="1">
      <c r="A37" s="2601" t="s">
        <v>1316</v>
      </c>
      <c r="B37" s="2603" t="s">
        <v>1315</v>
      </c>
      <c r="C37" s="310" t="s">
        <v>1676</v>
      </c>
      <c r="D37" s="623">
        <v>25</v>
      </c>
      <c r="E37" s="623">
        <v>54</v>
      </c>
      <c r="F37" s="623">
        <v>43</v>
      </c>
      <c r="G37" s="623">
        <v>32</v>
      </c>
      <c r="H37" s="624">
        <v>26</v>
      </c>
      <c r="I37" s="623">
        <v>22</v>
      </c>
      <c r="J37" s="623">
        <v>17</v>
      </c>
      <c r="K37" s="623">
        <v>22</v>
      </c>
      <c r="L37" s="623">
        <v>10</v>
      </c>
      <c r="M37" s="654">
        <v>0</v>
      </c>
      <c r="N37" s="700">
        <f t="shared" ref="N37:N42" si="1">SUM(D37:M37)</f>
        <v>251</v>
      </c>
      <c r="O37" s="1232" t="s">
        <v>695</v>
      </c>
    </row>
    <row r="38" spans="1:15" ht="21" customHeight="1">
      <c r="A38" s="2602"/>
      <c r="B38" s="2604"/>
      <c r="C38" s="311" t="s">
        <v>1677</v>
      </c>
      <c r="D38" s="625">
        <v>0</v>
      </c>
      <c r="E38" s="625">
        <v>3</v>
      </c>
      <c r="F38" s="625">
        <v>5</v>
      </c>
      <c r="G38" s="625">
        <v>5</v>
      </c>
      <c r="H38" s="625">
        <v>3</v>
      </c>
      <c r="I38" s="625">
        <v>2</v>
      </c>
      <c r="J38" s="625">
        <v>0</v>
      </c>
      <c r="K38" s="625">
        <v>2</v>
      </c>
      <c r="L38" s="625">
        <v>1</v>
      </c>
      <c r="M38" s="655">
        <v>0</v>
      </c>
      <c r="N38" s="701">
        <f t="shared" si="1"/>
        <v>21</v>
      </c>
      <c r="O38" s="1232" t="s">
        <v>181</v>
      </c>
    </row>
    <row r="39" spans="1:15" ht="21" customHeight="1">
      <c r="A39" s="2602"/>
      <c r="B39" s="2604"/>
      <c r="C39" s="311" t="s">
        <v>1678</v>
      </c>
      <c r="D39" s="625">
        <v>0</v>
      </c>
      <c r="E39" s="625">
        <v>0</v>
      </c>
      <c r="F39" s="625">
        <v>2</v>
      </c>
      <c r="G39" s="625">
        <v>0</v>
      </c>
      <c r="H39" s="625">
        <v>0</v>
      </c>
      <c r="I39" s="625">
        <v>0</v>
      </c>
      <c r="J39" s="625">
        <v>1</v>
      </c>
      <c r="K39" s="625">
        <v>2</v>
      </c>
      <c r="L39" s="625">
        <v>0</v>
      </c>
      <c r="M39" s="655">
        <v>0</v>
      </c>
      <c r="N39" s="701">
        <f t="shared" si="1"/>
        <v>5</v>
      </c>
      <c r="O39" s="1232" t="s">
        <v>183</v>
      </c>
    </row>
    <row r="40" spans="1:15" ht="27.75" customHeight="1">
      <c r="A40" s="2602"/>
      <c r="B40" s="2605" t="s">
        <v>1317</v>
      </c>
      <c r="C40" s="312" t="s">
        <v>1679</v>
      </c>
      <c r="D40" s="625"/>
      <c r="E40" s="625"/>
      <c r="F40" s="625"/>
      <c r="G40" s="625"/>
      <c r="H40" s="625"/>
      <c r="I40" s="625"/>
      <c r="J40" s="625"/>
      <c r="K40" s="625"/>
      <c r="L40" s="625"/>
      <c r="M40" s="655"/>
      <c r="N40" s="701">
        <f t="shared" si="1"/>
        <v>0</v>
      </c>
      <c r="O40" s="1232" t="s">
        <v>179</v>
      </c>
    </row>
    <row r="41" spans="1:15" ht="21" customHeight="1">
      <c r="A41" s="2602"/>
      <c r="B41" s="2606"/>
      <c r="C41" s="312" t="s">
        <v>1680</v>
      </c>
      <c r="D41" s="625"/>
      <c r="E41" s="625"/>
      <c r="F41" s="625"/>
      <c r="G41" s="625"/>
      <c r="H41" s="625"/>
      <c r="I41" s="625"/>
      <c r="J41" s="625"/>
      <c r="K41" s="625"/>
      <c r="L41" s="625"/>
      <c r="M41" s="655"/>
      <c r="N41" s="701">
        <f t="shared" si="1"/>
        <v>0</v>
      </c>
      <c r="O41" s="1232" t="s">
        <v>1912</v>
      </c>
    </row>
    <row r="42" spans="1:15" ht="31.5" customHeight="1">
      <c r="A42" s="2602"/>
      <c r="B42" s="2607"/>
      <c r="C42" s="311" t="s">
        <v>728</v>
      </c>
      <c r="D42" s="625">
        <v>0</v>
      </c>
      <c r="E42" s="625">
        <v>0</v>
      </c>
      <c r="F42" s="625">
        <v>0</v>
      </c>
      <c r="G42" s="625">
        <v>0</v>
      </c>
      <c r="H42" s="625">
        <v>0</v>
      </c>
      <c r="I42" s="625">
        <v>0</v>
      </c>
      <c r="J42" s="625">
        <v>2</v>
      </c>
      <c r="K42" s="625">
        <v>0</v>
      </c>
      <c r="L42" s="625">
        <v>1</v>
      </c>
      <c r="M42" s="655">
        <v>0</v>
      </c>
      <c r="N42" s="701">
        <f t="shared" si="1"/>
        <v>3</v>
      </c>
      <c r="O42" s="1232" t="s">
        <v>184</v>
      </c>
    </row>
    <row r="43" spans="1:15" ht="21" customHeight="1" thickBot="1">
      <c r="C43" s="514" t="s">
        <v>768</v>
      </c>
      <c r="D43" s="510">
        <f>SUM(D37:D42)</f>
        <v>25</v>
      </c>
      <c r="E43" s="510">
        <f t="shared" ref="E43:M43" si="2">SUM(E37:E42)</f>
        <v>57</v>
      </c>
      <c r="F43" s="510">
        <f t="shared" si="2"/>
        <v>50</v>
      </c>
      <c r="G43" s="510">
        <f t="shared" si="2"/>
        <v>37</v>
      </c>
      <c r="H43" s="510">
        <f t="shared" si="2"/>
        <v>29</v>
      </c>
      <c r="I43" s="510">
        <f t="shared" si="2"/>
        <v>24</v>
      </c>
      <c r="J43" s="510">
        <f t="shared" si="2"/>
        <v>20</v>
      </c>
      <c r="K43" s="510">
        <f t="shared" si="2"/>
        <v>26</v>
      </c>
      <c r="L43" s="510">
        <f t="shared" si="2"/>
        <v>12</v>
      </c>
      <c r="M43" s="510">
        <f t="shared" si="2"/>
        <v>0</v>
      </c>
      <c r="N43" s="513">
        <f>SUM(N37:N42)</f>
        <v>280</v>
      </c>
      <c r="O43" s="1234" t="s">
        <v>697</v>
      </c>
    </row>
    <row r="44" spans="1:15" ht="15" customHeight="1"/>
    <row r="45" spans="1:15">
      <c r="C45" s="382" t="s">
        <v>731</v>
      </c>
    </row>
    <row r="47" spans="1:15" ht="13.5" thickBot="1"/>
    <row r="48" spans="1:15">
      <c r="D48" s="2639" t="s">
        <v>2367</v>
      </c>
      <c r="E48" s="2640"/>
      <c r="F48" s="2640"/>
      <c r="G48" s="2640"/>
      <c r="H48" s="2640"/>
      <c r="I48" s="2640"/>
      <c r="J48" s="2640"/>
      <c r="K48" s="2640"/>
      <c r="L48" s="2640"/>
      <c r="M48" s="2640"/>
      <c r="N48" s="2641"/>
    </row>
    <row r="49" spans="1:15" ht="12.95" hidden="1" customHeight="1">
      <c r="D49" s="304"/>
      <c r="E49" s="304"/>
      <c r="F49" s="304"/>
      <c r="G49" s="308"/>
      <c r="H49" s="308"/>
      <c r="I49" s="308"/>
      <c r="J49" s="308"/>
      <c r="K49" s="308"/>
      <c r="L49" s="308"/>
      <c r="M49" s="308"/>
      <c r="N49" s="308"/>
    </row>
    <row r="50" spans="1:15" ht="36.75" customHeight="1" thickBot="1">
      <c r="D50" s="316" t="s">
        <v>830</v>
      </c>
      <c r="E50" s="317" t="s">
        <v>831</v>
      </c>
      <c r="F50" s="317" t="s">
        <v>832</v>
      </c>
      <c r="G50" s="317" t="s">
        <v>833</v>
      </c>
      <c r="H50" s="317" t="s">
        <v>834</v>
      </c>
      <c r="I50" s="317" t="s">
        <v>835</v>
      </c>
      <c r="J50" s="317" t="s">
        <v>836</v>
      </c>
      <c r="K50" s="317" t="s">
        <v>837</v>
      </c>
      <c r="L50" s="317" t="s">
        <v>838</v>
      </c>
      <c r="M50" s="318" t="s">
        <v>1751</v>
      </c>
      <c r="N50" s="319" t="s">
        <v>696</v>
      </c>
    </row>
    <row r="51" spans="1:15" ht="15" customHeight="1" thickBot="1">
      <c r="D51" s="1233" t="s">
        <v>695</v>
      </c>
      <c r="E51" s="1233" t="s">
        <v>179</v>
      </c>
      <c r="F51" s="1233" t="s">
        <v>181</v>
      </c>
      <c r="G51" s="1233" t="s">
        <v>183</v>
      </c>
      <c r="H51" s="1233" t="s">
        <v>184</v>
      </c>
      <c r="I51" s="1233" t="s">
        <v>2027</v>
      </c>
      <c r="J51" s="1233" t="s">
        <v>185</v>
      </c>
      <c r="K51" s="1233" t="s">
        <v>1749</v>
      </c>
      <c r="L51" s="1233" t="s">
        <v>186</v>
      </c>
      <c r="M51" s="1219">
        <v>10</v>
      </c>
      <c r="N51" s="1233" t="s">
        <v>697</v>
      </c>
      <c r="O51" s="1229" t="s">
        <v>1942</v>
      </c>
    </row>
    <row r="52" spans="1:15" ht="20.25" customHeight="1">
      <c r="A52" s="2601" t="s">
        <v>1316</v>
      </c>
      <c r="B52" s="2603" t="s">
        <v>1315</v>
      </c>
      <c r="C52" s="310" t="s">
        <v>1676</v>
      </c>
      <c r="D52" s="1030">
        <v>767</v>
      </c>
      <c r="E52" s="1030">
        <v>2773</v>
      </c>
      <c r="F52" s="1030">
        <v>1680</v>
      </c>
      <c r="G52" s="1030">
        <v>1104</v>
      </c>
      <c r="H52" s="1031">
        <v>1253</v>
      </c>
      <c r="I52" s="1030">
        <v>1048</v>
      </c>
      <c r="J52" s="1030">
        <v>703</v>
      </c>
      <c r="K52" s="1030">
        <v>744</v>
      </c>
      <c r="L52" s="1030">
        <v>717</v>
      </c>
      <c r="M52" s="1032">
        <v>11</v>
      </c>
      <c r="N52" s="515">
        <f t="shared" ref="N52:N57" si="3">SUM(D52:M52)</f>
        <v>10800</v>
      </c>
      <c r="O52" s="1232" t="s">
        <v>695</v>
      </c>
    </row>
    <row r="53" spans="1:15" ht="20.25" customHeight="1">
      <c r="A53" s="2602"/>
      <c r="B53" s="2604"/>
      <c r="C53" s="311" t="s">
        <v>1677</v>
      </c>
      <c r="D53" s="1033">
        <v>23</v>
      </c>
      <c r="E53" s="1033">
        <v>185</v>
      </c>
      <c r="F53" s="1033">
        <v>199</v>
      </c>
      <c r="G53" s="1033">
        <v>203</v>
      </c>
      <c r="H53" s="1033">
        <v>67</v>
      </c>
      <c r="I53" s="1033">
        <v>208</v>
      </c>
      <c r="J53" s="1033">
        <v>32</v>
      </c>
      <c r="K53" s="1033">
        <v>392</v>
      </c>
      <c r="L53" s="1033">
        <v>103</v>
      </c>
      <c r="M53" s="1034">
        <v>0</v>
      </c>
      <c r="N53" s="516">
        <f t="shared" si="3"/>
        <v>1412</v>
      </c>
      <c r="O53" s="1232" t="s">
        <v>181</v>
      </c>
    </row>
    <row r="54" spans="1:15" ht="20.25" customHeight="1">
      <c r="A54" s="2602"/>
      <c r="B54" s="2604"/>
      <c r="C54" s="311" t="s">
        <v>1678</v>
      </c>
      <c r="D54" s="1033">
        <v>4</v>
      </c>
      <c r="E54" s="1033">
        <v>42</v>
      </c>
      <c r="F54" s="1033">
        <v>149</v>
      </c>
      <c r="G54" s="1033">
        <v>28</v>
      </c>
      <c r="H54" s="1033">
        <v>2</v>
      </c>
      <c r="I54" s="1033">
        <v>0</v>
      </c>
      <c r="J54" s="1033">
        <v>125</v>
      </c>
      <c r="K54" s="1033">
        <v>186</v>
      </c>
      <c r="L54" s="1033">
        <v>24</v>
      </c>
      <c r="M54" s="1034">
        <v>30</v>
      </c>
      <c r="N54" s="516">
        <f t="shared" si="3"/>
        <v>590</v>
      </c>
      <c r="O54" s="1232" t="s">
        <v>183</v>
      </c>
    </row>
    <row r="55" spans="1:15" ht="26.25" customHeight="1">
      <c r="A55" s="2602"/>
      <c r="B55" s="2605" t="s">
        <v>1317</v>
      </c>
      <c r="C55" s="312" t="s">
        <v>1679</v>
      </c>
      <c r="D55" s="1033"/>
      <c r="E55" s="1033"/>
      <c r="F55" s="1033"/>
      <c r="G55" s="1033"/>
      <c r="H55" s="1033"/>
      <c r="I55" s="1033"/>
      <c r="J55" s="1033"/>
      <c r="K55" s="1033"/>
      <c r="L55" s="1033"/>
      <c r="M55" s="1034"/>
      <c r="N55" s="516">
        <f t="shared" si="3"/>
        <v>0</v>
      </c>
      <c r="O55" s="1232" t="s">
        <v>179</v>
      </c>
    </row>
    <row r="56" spans="1:15" ht="20.25" customHeight="1">
      <c r="A56" s="2602"/>
      <c r="B56" s="2606"/>
      <c r="C56" s="312" t="s">
        <v>1680</v>
      </c>
      <c r="D56" s="1033"/>
      <c r="E56" s="1033"/>
      <c r="F56" s="1033"/>
      <c r="G56" s="1033"/>
      <c r="H56" s="1033"/>
      <c r="I56" s="1033"/>
      <c r="J56" s="1033"/>
      <c r="K56" s="1033"/>
      <c r="L56" s="1033"/>
      <c r="M56" s="1034"/>
      <c r="N56" s="516">
        <f t="shared" si="3"/>
        <v>0</v>
      </c>
      <c r="O56" s="1232" t="s">
        <v>1912</v>
      </c>
    </row>
    <row r="57" spans="1:15" ht="33" customHeight="1">
      <c r="A57" s="2602"/>
      <c r="B57" s="2607"/>
      <c r="C57" s="311" t="s">
        <v>728</v>
      </c>
      <c r="D57" s="1033">
        <v>0</v>
      </c>
      <c r="E57" s="1033">
        <v>0</v>
      </c>
      <c r="F57" s="1033">
        <v>0</v>
      </c>
      <c r="G57" s="1033">
        <v>0</v>
      </c>
      <c r="H57" s="1033">
        <v>0</v>
      </c>
      <c r="I57" s="1033">
        <v>0</v>
      </c>
      <c r="J57" s="1033">
        <v>113</v>
      </c>
      <c r="K57" s="1033">
        <v>0</v>
      </c>
      <c r="L57" s="1033">
        <v>22</v>
      </c>
      <c r="M57" s="1034">
        <v>0</v>
      </c>
      <c r="N57" s="516">
        <f t="shared" si="3"/>
        <v>135</v>
      </c>
      <c r="O57" s="1232" t="s">
        <v>184</v>
      </c>
    </row>
    <row r="58" spans="1:15" ht="20.25" customHeight="1" thickBot="1">
      <c r="C58" s="514" t="s">
        <v>768</v>
      </c>
      <c r="D58" s="702">
        <f>SUM(D52:D57)</f>
        <v>794</v>
      </c>
      <c r="E58" s="702">
        <f t="shared" ref="E58:M58" si="4">SUM(E52:E57)</f>
        <v>3000</v>
      </c>
      <c r="F58" s="702">
        <f t="shared" si="4"/>
        <v>2028</v>
      </c>
      <c r="G58" s="702">
        <f t="shared" si="4"/>
        <v>1335</v>
      </c>
      <c r="H58" s="702">
        <f t="shared" si="4"/>
        <v>1322</v>
      </c>
      <c r="I58" s="702">
        <f t="shared" si="4"/>
        <v>1256</v>
      </c>
      <c r="J58" s="702">
        <f t="shared" si="4"/>
        <v>973</v>
      </c>
      <c r="K58" s="702">
        <f t="shared" si="4"/>
        <v>1322</v>
      </c>
      <c r="L58" s="702">
        <f t="shared" si="4"/>
        <v>866</v>
      </c>
      <c r="M58" s="702">
        <f t="shared" si="4"/>
        <v>41</v>
      </c>
      <c r="N58" s="703">
        <f>SUM(N52:N57)</f>
        <v>12937</v>
      </c>
      <c r="O58" s="1234" t="s">
        <v>697</v>
      </c>
    </row>
  </sheetData>
  <sheetProtection algorithmName="SHA-512" hashValue="PVOpdlqF3Jk9hIO0bi4laD9vDp4G/zhciO3Gz4m1OOoogfljB7BS2avkPol1cJcovN2k34wlP0HEmNGLz/k8KQ==" saltValue="LbvOJ6FLNmTKB2AD/1vN4g==" spinCount="100000" sheet="1" objects="1" scenarios="1"/>
  <mergeCells count="21">
    <mergeCell ref="D33:N33"/>
    <mergeCell ref="D48:N48"/>
    <mergeCell ref="A15:A20"/>
    <mergeCell ref="B15:B17"/>
    <mergeCell ref="B18:B20"/>
    <mergeCell ref="A21:B23"/>
    <mergeCell ref="D1:E1"/>
    <mergeCell ref="A3:N3"/>
    <mergeCell ref="D10:E11"/>
    <mergeCell ref="F10:G11"/>
    <mergeCell ref="H10:I11"/>
    <mergeCell ref="A5:N5"/>
    <mergeCell ref="A6:N6"/>
    <mergeCell ref="A7:N7"/>
    <mergeCell ref="A8:H8"/>
    <mergeCell ref="A52:A57"/>
    <mergeCell ref="B52:B54"/>
    <mergeCell ref="B55:B57"/>
    <mergeCell ref="A37:A42"/>
    <mergeCell ref="B37:B39"/>
    <mergeCell ref="B40:B42"/>
  </mergeCells>
  <dataValidations count="2">
    <dataValidation type="whole" allowBlank="1" showInputMessage="1" showErrorMessage="1" errorTitle="Erreur de saisie" error="Vous devez saisir une valeur entière" sqref="D37:M42 H22 D22:D23 I21:I22 H15:I20 D15:D20 E15:E23">
      <formula1>0</formula1>
      <formula2>999999999999</formula2>
    </dataValidation>
    <dataValidation type="decimal" allowBlank="1" showInputMessage="1" showErrorMessage="1" errorTitle="Erreur de saisie" error="Vous devez saisir une valeur décimale" sqref="F15:G20 G21 G22 F22 F23 G23 D52:M57">
      <formula1>0</formula1>
      <formula2>999999999999</formula2>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48" orientation="portrait" r:id="rId1"/>
  <headerFooter alignWithMargins="0">
    <oddFooter>&amp;LRSU 2020 - Présentation au CTP&amp;R&amp;P/&amp;N
&amp;A</oddFooter>
  </headerFooter>
  <rowBreaks count="1" manualBreakCount="1">
    <brk id="32" max="16383" man="1"/>
  </rowBreaks>
</worksheet>
</file>

<file path=xl/worksheets/sheet53.xml><?xml version="1.0" encoding="utf-8"?>
<worksheet xmlns="http://schemas.openxmlformats.org/spreadsheetml/2006/main" xmlns:r="http://schemas.openxmlformats.org/officeDocument/2006/relationships">
  <sheetPr codeName="Feuil45">
    <pageSetUpPr fitToPage="1"/>
  </sheetPr>
  <dimension ref="A1:O60"/>
  <sheetViews>
    <sheetView showGridLines="0" workbookViewId="0"/>
  </sheetViews>
  <sheetFormatPr baseColWidth="10" defaultColWidth="11.28515625" defaultRowHeight="12.75" customHeight="1"/>
  <cols>
    <col min="1" max="1" width="13.85546875" customWidth="1"/>
    <col min="2" max="2" width="19" customWidth="1"/>
    <col min="3" max="3" width="40.140625" customWidth="1"/>
    <col min="4" max="13" width="11.28515625" customWidth="1"/>
    <col min="14" max="14" width="8.85546875" customWidth="1"/>
    <col min="15" max="15" width="11.42578125" customWidth="1"/>
    <col min="16" max="250" width="11.28515625" customWidth="1"/>
  </cols>
  <sheetData>
    <row r="1" spans="1:14" ht="17.100000000000001" customHeight="1">
      <c r="D1" s="2245" t="s">
        <v>958</v>
      </c>
      <c r="E1" s="2245"/>
    </row>
    <row r="2" spans="1:14" ht="15.75" customHeight="1" thickBot="1"/>
    <row r="3" spans="1:14" ht="39.950000000000003" customHeight="1" thickBot="1">
      <c r="A3" s="2628" t="s">
        <v>2368</v>
      </c>
      <c r="B3" s="2630"/>
      <c r="C3" s="2630"/>
      <c r="D3" s="2630"/>
      <c r="E3" s="2630"/>
      <c r="F3" s="2630"/>
      <c r="G3" s="2630"/>
      <c r="H3" s="2630"/>
      <c r="I3" s="2630"/>
      <c r="J3" s="2630"/>
      <c r="K3" s="2630"/>
      <c r="L3" s="2630"/>
      <c r="M3" s="2630"/>
      <c r="N3" s="2630"/>
    </row>
    <row r="4" spans="1:14" ht="14.25" customHeight="1"/>
    <row r="5" spans="1:14" ht="12.95" customHeight="1">
      <c r="A5" s="2635" t="s">
        <v>2604</v>
      </c>
      <c r="B5" s="2636"/>
      <c r="C5" s="2636"/>
      <c r="D5" s="2636"/>
      <c r="E5" s="2636"/>
      <c r="F5" s="2636"/>
      <c r="G5" s="2636"/>
      <c r="H5" s="2636"/>
      <c r="I5" s="2636"/>
      <c r="J5" s="2636"/>
      <c r="K5" s="2636"/>
      <c r="L5" s="2636"/>
      <c r="M5" s="2636"/>
      <c r="N5" s="2636"/>
    </row>
    <row r="6" spans="1:14" ht="12.95" customHeight="1">
      <c r="A6" s="2622" t="s">
        <v>1294</v>
      </c>
      <c r="B6" s="2623"/>
      <c r="C6" s="2623"/>
      <c r="D6" s="2623"/>
      <c r="E6" s="2623"/>
      <c r="F6" s="2623"/>
      <c r="G6" s="2623"/>
      <c r="H6" s="2623"/>
      <c r="I6" s="2623"/>
      <c r="J6" s="2623"/>
      <c r="K6" s="2623"/>
      <c r="L6" s="2623"/>
      <c r="M6" s="2623"/>
      <c r="N6" s="2623"/>
    </row>
    <row r="7" spans="1:14" ht="12.95" customHeight="1">
      <c r="A7" s="2627" t="s">
        <v>826</v>
      </c>
      <c r="B7" s="2305"/>
      <c r="C7" s="2305"/>
      <c r="D7" s="2305"/>
      <c r="E7" s="2305"/>
      <c r="F7" s="2305"/>
      <c r="G7" s="2305"/>
      <c r="H7" s="2305"/>
      <c r="I7" s="2305"/>
      <c r="J7" s="2305"/>
      <c r="K7" s="2305"/>
      <c r="L7" s="2305"/>
      <c r="M7" s="2305"/>
      <c r="N7" s="2305"/>
    </row>
    <row r="8" spans="1:14" ht="12.95" customHeight="1">
      <c r="A8" s="2637" t="s">
        <v>25</v>
      </c>
      <c r="B8" s="2638"/>
      <c r="C8" s="2638"/>
      <c r="D8" s="2638"/>
      <c r="E8" s="2638"/>
      <c r="F8" s="2638"/>
      <c r="G8" s="2626"/>
      <c r="H8" s="2626"/>
    </row>
    <row r="9" spans="1:14" ht="8.25" customHeight="1"/>
    <row r="10" spans="1:14" ht="9.75" customHeight="1" thickBot="1"/>
    <row r="11" spans="1:14" ht="12.95" customHeight="1" thickBot="1">
      <c r="D11" s="2615" t="s">
        <v>156</v>
      </c>
      <c r="E11" s="2616"/>
      <c r="F11" s="2614" t="s">
        <v>1756</v>
      </c>
      <c r="G11" s="2642"/>
      <c r="H11" s="2633" t="s">
        <v>857</v>
      </c>
      <c r="I11" s="2633"/>
    </row>
    <row r="12" spans="1:14" ht="22.5" customHeight="1">
      <c r="D12" s="2615"/>
      <c r="E12" s="2616"/>
      <c r="F12" s="2614"/>
      <c r="G12" s="2642"/>
      <c r="H12" s="2633"/>
      <c r="I12" s="2633"/>
    </row>
    <row r="13" spans="1:14" ht="36.75" customHeight="1" thickBot="1">
      <c r="D13" s="1029" t="s">
        <v>707</v>
      </c>
      <c r="E13" s="321" t="s">
        <v>708</v>
      </c>
      <c r="F13" s="321" t="s">
        <v>707</v>
      </c>
      <c r="G13" s="332" t="s">
        <v>708</v>
      </c>
      <c r="H13" s="301" t="s">
        <v>707</v>
      </c>
      <c r="I13" s="303" t="s">
        <v>708</v>
      </c>
    </row>
    <row r="14" spans="1:14" ht="12.95" hidden="1" customHeight="1">
      <c r="D14" s="304" t="s">
        <v>858</v>
      </c>
      <c r="E14" s="304" t="s">
        <v>859</v>
      </c>
      <c r="F14" s="304" t="s">
        <v>860</v>
      </c>
      <c r="G14" s="323" t="s">
        <v>861</v>
      </c>
      <c r="H14" s="436"/>
      <c r="I14" s="324"/>
      <c r="J14" s="304"/>
      <c r="K14" s="304"/>
      <c r="L14" s="304"/>
      <c r="M14" s="304"/>
      <c r="N14" s="308"/>
    </row>
    <row r="15" spans="1:14" ht="15" customHeight="1" thickBot="1">
      <c r="D15" s="1211">
        <v>1</v>
      </c>
      <c r="E15" s="1211">
        <v>2</v>
      </c>
      <c r="F15" s="1211">
        <v>1</v>
      </c>
      <c r="G15" s="1211">
        <v>2</v>
      </c>
      <c r="H15" s="1215">
        <v>1</v>
      </c>
      <c r="I15" s="1211">
        <v>2</v>
      </c>
      <c r="J15" s="1211" t="s">
        <v>1941</v>
      </c>
    </row>
    <row r="16" spans="1:14" ht="21" customHeight="1">
      <c r="A16" s="2601" t="s">
        <v>1316</v>
      </c>
      <c r="B16" s="2603" t="s">
        <v>1315</v>
      </c>
      <c r="C16" s="333" t="s">
        <v>1676</v>
      </c>
      <c r="D16" s="628">
        <v>4</v>
      </c>
      <c r="E16" s="624">
        <v>109</v>
      </c>
      <c r="F16" s="1035">
        <v>42</v>
      </c>
      <c r="G16" s="1032">
        <v>2688</v>
      </c>
      <c r="H16" s="663">
        <v>6</v>
      </c>
      <c r="I16" s="664">
        <v>122</v>
      </c>
      <c r="J16" s="1231" t="s">
        <v>695</v>
      </c>
    </row>
    <row r="17" spans="1:10" ht="21" customHeight="1">
      <c r="A17" s="2602"/>
      <c r="B17" s="2604"/>
      <c r="C17" s="313" t="s">
        <v>1677</v>
      </c>
      <c r="D17" s="627">
        <v>0</v>
      </c>
      <c r="E17" s="629">
        <v>6</v>
      </c>
      <c r="F17" s="1039">
        <v>0</v>
      </c>
      <c r="G17" s="1040">
        <v>111</v>
      </c>
      <c r="H17" s="665">
        <v>0</v>
      </c>
      <c r="I17" s="666">
        <v>7</v>
      </c>
      <c r="J17" s="1231" t="s">
        <v>181</v>
      </c>
    </row>
    <row r="18" spans="1:10" ht="21" customHeight="1">
      <c r="A18" s="2602"/>
      <c r="B18" s="2604"/>
      <c r="C18" s="313" t="s">
        <v>1678</v>
      </c>
      <c r="D18" s="627">
        <v>0</v>
      </c>
      <c r="E18" s="625">
        <v>2</v>
      </c>
      <c r="F18" s="1036">
        <v>0</v>
      </c>
      <c r="G18" s="1034">
        <v>24</v>
      </c>
      <c r="H18" s="665">
        <v>0</v>
      </c>
      <c r="I18" s="666">
        <v>2</v>
      </c>
      <c r="J18" s="1231" t="s">
        <v>183</v>
      </c>
    </row>
    <row r="19" spans="1:10" ht="28.5" customHeight="1">
      <c r="A19" s="2602"/>
      <c r="B19" s="2643" t="s">
        <v>1317</v>
      </c>
      <c r="C19" s="334" t="s">
        <v>1679</v>
      </c>
      <c r="D19" s="627"/>
      <c r="E19" s="625"/>
      <c r="F19" s="1036"/>
      <c r="G19" s="1034"/>
      <c r="H19" s="665"/>
      <c r="I19" s="666"/>
      <c r="J19" s="1231" t="s">
        <v>179</v>
      </c>
    </row>
    <row r="20" spans="1:10" ht="21" customHeight="1">
      <c r="A20" s="2602"/>
      <c r="B20" s="2643"/>
      <c r="C20" s="334" t="s">
        <v>1680</v>
      </c>
      <c r="D20" s="627"/>
      <c r="E20" s="625"/>
      <c r="F20" s="1036"/>
      <c r="G20" s="1034"/>
      <c r="H20" s="665"/>
      <c r="I20" s="666"/>
      <c r="J20" s="1231" t="s">
        <v>1912</v>
      </c>
    </row>
    <row r="21" spans="1:10" ht="35.25" customHeight="1">
      <c r="A21" s="2602"/>
      <c r="B21" s="2643"/>
      <c r="C21" s="313" t="s">
        <v>728</v>
      </c>
      <c r="D21" s="627"/>
      <c r="E21" s="625"/>
      <c r="F21" s="1036"/>
      <c r="G21" s="1034"/>
      <c r="H21" s="665"/>
      <c r="I21" s="666"/>
      <c r="J21" s="1231" t="s">
        <v>184</v>
      </c>
    </row>
    <row r="22" spans="1:10" ht="21" customHeight="1">
      <c r="A22" s="2602" t="s">
        <v>1318</v>
      </c>
      <c r="B22" s="2602"/>
      <c r="C22" s="311" t="s">
        <v>570</v>
      </c>
      <c r="D22" s="363"/>
      <c r="E22" s="625">
        <v>1</v>
      </c>
      <c r="F22" s="364"/>
      <c r="G22" s="1034">
        <v>364</v>
      </c>
      <c r="H22" s="660"/>
      <c r="I22" s="652">
        <v>2</v>
      </c>
      <c r="J22" s="1231" t="s">
        <v>2027</v>
      </c>
    </row>
    <row r="23" spans="1:10" ht="80.25" customHeight="1">
      <c r="A23" s="2602"/>
      <c r="B23" s="2602"/>
      <c r="C23" s="311" t="s">
        <v>287</v>
      </c>
      <c r="D23" s="627"/>
      <c r="E23" s="626"/>
      <c r="F23" s="1036"/>
      <c r="G23" s="1037"/>
      <c r="H23" s="651"/>
      <c r="I23" s="653"/>
      <c r="J23" s="1231" t="s">
        <v>1749</v>
      </c>
    </row>
    <row r="24" spans="1:10" ht="78" customHeight="1">
      <c r="A24" s="2602"/>
      <c r="B24" s="2602"/>
      <c r="C24" s="325" t="s">
        <v>727</v>
      </c>
      <c r="D24" s="627">
        <v>13</v>
      </c>
      <c r="E24" s="625">
        <v>19</v>
      </c>
      <c r="F24" s="1038">
        <v>474</v>
      </c>
      <c r="G24" s="1034">
        <v>468</v>
      </c>
      <c r="H24" s="661"/>
      <c r="I24" s="662"/>
      <c r="J24" s="1232" t="s">
        <v>186</v>
      </c>
    </row>
    <row r="25" spans="1:10" ht="21" customHeight="1" thickBot="1">
      <c r="C25" s="517" t="s">
        <v>768</v>
      </c>
      <c r="D25" s="509">
        <f t="shared" ref="D25:I25" si="0">SUM(D16:D24)</f>
        <v>17</v>
      </c>
      <c r="E25" s="510">
        <f t="shared" si="0"/>
        <v>137</v>
      </c>
      <c r="F25" s="511">
        <f t="shared" si="0"/>
        <v>516</v>
      </c>
      <c r="G25" s="511">
        <f t="shared" si="0"/>
        <v>3655</v>
      </c>
      <c r="H25" s="512">
        <f t="shared" si="0"/>
        <v>6</v>
      </c>
      <c r="I25" s="513">
        <f t="shared" si="0"/>
        <v>133</v>
      </c>
      <c r="J25" s="1232" t="s">
        <v>697</v>
      </c>
    </row>
    <row r="26" spans="1:10" ht="15" customHeight="1"/>
    <row r="27" spans="1:10" ht="15" customHeight="1">
      <c r="C27" s="315" t="s">
        <v>2019</v>
      </c>
    </row>
    <row r="28" spans="1:10" ht="15" customHeight="1">
      <c r="C28" s="326" t="s">
        <v>1882</v>
      </c>
    </row>
    <row r="29" spans="1:10" ht="15" customHeight="1">
      <c r="C29" s="547"/>
    </row>
    <row r="30" spans="1:10" ht="15" customHeight="1">
      <c r="C30" s="315" t="s">
        <v>1758</v>
      </c>
    </row>
    <row r="31" spans="1:10" ht="15" customHeight="1">
      <c r="C31" s="315" t="s">
        <v>1760</v>
      </c>
    </row>
    <row r="32" spans="1:10" ht="15" customHeight="1">
      <c r="C32" s="315" t="s">
        <v>2018</v>
      </c>
    </row>
    <row r="33" spans="1:15" ht="15" customHeight="1"/>
    <row r="34" spans="1:15" ht="20.25" customHeight="1" thickBot="1"/>
    <row r="35" spans="1:15" ht="12.95" hidden="1" customHeight="1">
      <c r="D35" s="304"/>
      <c r="E35" s="304"/>
      <c r="F35" s="304"/>
      <c r="G35" s="308"/>
      <c r="H35" s="308"/>
      <c r="I35" s="308"/>
      <c r="J35" s="308"/>
      <c r="K35" s="308"/>
      <c r="L35" s="308"/>
      <c r="M35" s="308"/>
      <c r="N35" s="308"/>
    </row>
    <row r="36" spans="1:15" ht="18" customHeight="1">
      <c r="D36" s="2639" t="s">
        <v>2369</v>
      </c>
      <c r="E36" s="2640"/>
      <c r="F36" s="2640"/>
      <c r="G36" s="2640"/>
      <c r="H36" s="2640"/>
      <c r="I36" s="2640"/>
      <c r="J36" s="2640"/>
      <c r="K36" s="2640"/>
      <c r="L36" s="2640"/>
      <c r="M36" s="2640"/>
      <c r="N36" s="2641"/>
    </row>
    <row r="37" spans="1:15" ht="40.5" customHeight="1" thickBot="1">
      <c r="D37" s="316" t="s">
        <v>830</v>
      </c>
      <c r="E37" s="317" t="s">
        <v>831</v>
      </c>
      <c r="F37" s="317" t="s">
        <v>832</v>
      </c>
      <c r="G37" s="317" t="s">
        <v>833</v>
      </c>
      <c r="H37" s="317" t="s">
        <v>834</v>
      </c>
      <c r="I37" s="317" t="s">
        <v>835</v>
      </c>
      <c r="J37" s="317" t="s">
        <v>836</v>
      </c>
      <c r="K37" s="317" t="s">
        <v>837</v>
      </c>
      <c r="L37" s="317" t="s">
        <v>838</v>
      </c>
      <c r="M37" s="318" t="s">
        <v>1751</v>
      </c>
      <c r="N37" s="319" t="s">
        <v>696</v>
      </c>
    </row>
    <row r="38" spans="1:15" ht="15" customHeight="1" thickBot="1">
      <c r="D38" s="1233" t="s">
        <v>695</v>
      </c>
      <c r="E38" s="1233" t="s">
        <v>179</v>
      </c>
      <c r="F38" s="1233" t="s">
        <v>181</v>
      </c>
      <c r="G38" s="1233" t="s">
        <v>183</v>
      </c>
      <c r="H38" s="1233" t="s">
        <v>184</v>
      </c>
      <c r="I38" s="1233" t="s">
        <v>2027</v>
      </c>
      <c r="J38" s="1233" t="s">
        <v>185</v>
      </c>
      <c r="K38" s="1233" t="s">
        <v>1749</v>
      </c>
      <c r="L38" s="1233" t="s">
        <v>186</v>
      </c>
      <c r="M38" s="1219">
        <v>10</v>
      </c>
      <c r="N38" s="1233" t="s">
        <v>697</v>
      </c>
      <c r="O38" s="1229" t="s">
        <v>1942</v>
      </c>
    </row>
    <row r="39" spans="1:15" ht="21" customHeight="1">
      <c r="A39" s="2601" t="s">
        <v>1316</v>
      </c>
      <c r="B39" s="2603" t="s">
        <v>1315</v>
      </c>
      <c r="C39" s="310" t="s">
        <v>1676</v>
      </c>
      <c r="D39" s="623">
        <v>9</v>
      </c>
      <c r="E39" s="623">
        <v>4</v>
      </c>
      <c r="F39" s="623">
        <v>8</v>
      </c>
      <c r="G39" s="623">
        <v>11</v>
      </c>
      <c r="H39" s="623">
        <v>13</v>
      </c>
      <c r="I39" s="623">
        <v>8</v>
      </c>
      <c r="J39" s="623">
        <v>20</v>
      </c>
      <c r="K39" s="623">
        <v>18</v>
      </c>
      <c r="L39" s="623">
        <v>20</v>
      </c>
      <c r="M39" s="623">
        <v>2</v>
      </c>
      <c r="N39" s="700">
        <f t="shared" ref="N39:N44" si="1">SUM(D39:M39)</f>
        <v>113</v>
      </c>
      <c r="O39" s="1232" t="s">
        <v>695</v>
      </c>
    </row>
    <row r="40" spans="1:15" ht="21" customHeight="1">
      <c r="A40" s="2602"/>
      <c r="B40" s="2604"/>
      <c r="C40" s="311" t="s">
        <v>1677</v>
      </c>
      <c r="D40" s="625">
        <v>0</v>
      </c>
      <c r="E40" s="625">
        <v>0</v>
      </c>
      <c r="F40" s="625">
        <v>1</v>
      </c>
      <c r="G40" s="625">
        <v>0</v>
      </c>
      <c r="H40" s="625">
        <v>1</v>
      </c>
      <c r="I40" s="625">
        <v>0</v>
      </c>
      <c r="J40" s="625">
        <v>1</v>
      </c>
      <c r="K40" s="625">
        <v>1</v>
      </c>
      <c r="L40" s="625">
        <v>1</v>
      </c>
      <c r="M40" s="655">
        <v>1</v>
      </c>
      <c r="N40" s="701">
        <f t="shared" si="1"/>
        <v>6</v>
      </c>
      <c r="O40" s="1232" t="s">
        <v>181</v>
      </c>
    </row>
    <row r="41" spans="1:15" ht="21" customHeight="1">
      <c r="A41" s="2602"/>
      <c r="B41" s="2604"/>
      <c r="C41" s="311" t="s">
        <v>1678</v>
      </c>
      <c r="D41" s="625">
        <v>0</v>
      </c>
      <c r="E41" s="625">
        <v>0</v>
      </c>
      <c r="F41" s="625">
        <v>0</v>
      </c>
      <c r="G41" s="625">
        <v>0</v>
      </c>
      <c r="H41" s="625">
        <v>0</v>
      </c>
      <c r="I41" s="625">
        <v>0</v>
      </c>
      <c r="J41" s="625">
        <v>0</v>
      </c>
      <c r="K41" s="625">
        <v>0</v>
      </c>
      <c r="L41" s="625">
        <v>2</v>
      </c>
      <c r="M41" s="655">
        <v>0</v>
      </c>
      <c r="N41" s="701">
        <f t="shared" si="1"/>
        <v>2</v>
      </c>
      <c r="O41" s="1232" t="s">
        <v>183</v>
      </c>
    </row>
    <row r="42" spans="1:15" ht="28.5" customHeight="1">
      <c r="A42" s="2602"/>
      <c r="B42" s="2643" t="s">
        <v>1317</v>
      </c>
      <c r="C42" s="312" t="s">
        <v>1679</v>
      </c>
      <c r="D42" s="625"/>
      <c r="E42" s="625"/>
      <c r="F42" s="625"/>
      <c r="G42" s="625"/>
      <c r="H42" s="625"/>
      <c r="I42" s="625"/>
      <c r="J42" s="625"/>
      <c r="K42" s="625"/>
      <c r="L42" s="625"/>
      <c r="M42" s="655"/>
      <c r="N42" s="701">
        <f t="shared" si="1"/>
        <v>0</v>
      </c>
      <c r="O42" s="1232" t="s">
        <v>179</v>
      </c>
    </row>
    <row r="43" spans="1:15" ht="21" customHeight="1">
      <c r="A43" s="2602"/>
      <c r="B43" s="2643"/>
      <c r="C43" s="312" t="s">
        <v>1680</v>
      </c>
      <c r="D43" s="625"/>
      <c r="E43" s="625"/>
      <c r="F43" s="625"/>
      <c r="G43" s="625"/>
      <c r="H43" s="625"/>
      <c r="I43" s="625"/>
      <c r="J43" s="625"/>
      <c r="K43" s="625"/>
      <c r="L43" s="625"/>
      <c r="M43" s="655"/>
      <c r="N43" s="701">
        <f t="shared" si="1"/>
        <v>0</v>
      </c>
      <c r="O43" s="1232" t="s">
        <v>1912</v>
      </c>
    </row>
    <row r="44" spans="1:15" ht="32.25" customHeight="1">
      <c r="A44" s="2602"/>
      <c r="B44" s="2643"/>
      <c r="C44" s="311" t="s">
        <v>728</v>
      </c>
      <c r="D44" s="625"/>
      <c r="E44" s="625"/>
      <c r="F44" s="625"/>
      <c r="G44" s="625"/>
      <c r="H44" s="625"/>
      <c r="I44" s="625"/>
      <c r="J44" s="625"/>
      <c r="K44" s="625"/>
      <c r="L44" s="625"/>
      <c r="M44" s="655"/>
      <c r="N44" s="701">
        <f t="shared" si="1"/>
        <v>0</v>
      </c>
      <c r="O44" s="1232" t="s">
        <v>184</v>
      </c>
    </row>
    <row r="45" spans="1:15" ht="21" customHeight="1" thickBot="1">
      <c r="C45" s="514" t="s">
        <v>768</v>
      </c>
      <c r="D45" s="510">
        <f>SUM(D39:D44)</f>
        <v>9</v>
      </c>
      <c r="E45" s="510">
        <f t="shared" ref="E45:M45" si="2">SUM(E39:E44)</f>
        <v>4</v>
      </c>
      <c r="F45" s="510">
        <f t="shared" si="2"/>
        <v>9</v>
      </c>
      <c r="G45" s="510">
        <f t="shared" si="2"/>
        <v>11</v>
      </c>
      <c r="H45" s="510">
        <f t="shared" si="2"/>
        <v>14</v>
      </c>
      <c r="I45" s="510">
        <f t="shared" si="2"/>
        <v>8</v>
      </c>
      <c r="J45" s="510">
        <f t="shared" si="2"/>
        <v>21</v>
      </c>
      <c r="K45" s="510">
        <f t="shared" si="2"/>
        <v>19</v>
      </c>
      <c r="L45" s="510">
        <f t="shared" si="2"/>
        <v>23</v>
      </c>
      <c r="M45" s="510">
        <f t="shared" si="2"/>
        <v>3</v>
      </c>
      <c r="N45" s="513">
        <f>SUM(N39:N44)</f>
        <v>121</v>
      </c>
      <c r="O45" s="1234" t="s">
        <v>697</v>
      </c>
    </row>
    <row r="46" spans="1:15" ht="15" customHeight="1"/>
    <row r="47" spans="1:15">
      <c r="C47" s="382" t="s">
        <v>731</v>
      </c>
    </row>
    <row r="49" spans="1:15" ht="13.5" thickBot="1"/>
    <row r="50" spans="1:15" ht="12.95" hidden="1" customHeight="1">
      <c r="D50" s="304"/>
      <c r="E50" s="304"/>
      <c r="F50" s="304"/>
      <c r="G50" s="308"/>
      <c r="H50" s="308"/>
      <c r="I50" s="308"/>
      <c r="J50" s="308"/>
      <c r="K50" s="308"/>
      <c r="L50" s="308"/>
      <c r="M50" s="308"/>
      <c r="N50" s="308"/>
      <c r="O50" s="308"/>
    </row>
    <row r="51" spans="1:15" ht="18" customHeight="1">
      <c r="D51" s="2639" t="s">
        <v>2370</v>
      </c>
      <c r="E51" s="2640"/>
      <c r="F51" s="2640"/>
      <c r="G51" s="2640"/>
      <c r="H51" s="2640"/>
      <c r="I51" s="2640"/>
      <c r="J51" s="2640"/>
      <c r="K51" s="2640"/>
      <c r="L51" s="2640"/>
      <c r="M51" s="2640"/>
      <c r="N51" s="2641"/>
    </row>
    <row r="52" spans="1:15" ht="36.75" customHeight="1" thickBot="1">
      <c r="D52" s="316" t="s">
        <v>830</v>
      </c>
      <c r="E52" s="317" t="s">
        <v>831</v>
      </c>
      <c r="F52" s="317" t="s">
        <v>832</v>
      </c>
      <c r="G52" s="317" t="s">
        <v>833</v>
      </c>
      <c r="H52" s="317" t="s">
        <v>834</v>
      </c>
      <c r="I52" s="317" t="s">
        <v>835</v>
      </c>
      <c r="J52" s="317" t="s">
        <v>836</v>
      </c>
      <c r="K52" s="317" t="s">
        <v>837</v>
      </c>
      <c r="L52" s="317" t="s">
        <v>838</v>
      </c>
      <c r="M52" s="318" t="s">
        <v>1751</v>
      </c>
      <c r="N52" s="319" t="s">
        <v>696</v>
      </c>
    </row>
    <row r="53" spans="1:15" ht="15" customHeight="1" thickBot="1">
      <c r="D53" s="1233" t="s">
        <v>695</v>
      </c>
      <c r="E53" s="1233" t="s">
        <v>179</v>
      </c>
      <c r="F53" s="1233" t="s">
        <v>181</v>
      </c>
      <c r="G53" s="1233" t="s">
        <v>183</v>
      </c>
      <c r="H53" s="1233" t="s">
        <v>184</v>
      </c>
      <c r="I53" s="1233" t="s">
        <v>2027</v>
      </c>
      <c r="J53" s="1233" t="s">
        <v>185</v>
      </c>
      <c r="K53" s="1233" t="s">
        <v>1749</v>
      </c>
      <c r="L53" s="1233" t="s">
        <v>186</v>
      </c>
      <c r="M53" s="1219">
        <v>10</v>
      </c>
      <c r="N53" s="1233" t="s">
        <v>697</v>
      </c>
      <c r="O53" s="1229" t="s">
        <v>1942</v>
      </c>
    </row>
    <row r="54" spans="1:15" ht="21" customHeight="1">
      <c r="A54" s="2601" t="s">
        <v>1316</v>
      </c>
      <c r="B54" s="2603" t="s">
        <v>1315</v>
      </c>
      <c r="C54" s="333" t="s">
        <v>1676</v>
      </c>
      <c r="D54" s="1030">
        <v>116</v>
      </c>
      <c r="E54" s="1030">
        <v>68</v>
      </c>
      <c r="F54" s="1030">
        <v>310</v>
      </c>
      <c r="G54" s="1030">
        <v>178</v>
      </c>
      <c r="H54" s="1031">
        <v>246</v>
      </c>
      <c r="I54" s="1030">
        <v>179</v>
      </c>
      <c r="J54" s="1030">
        <v>332</v>
      </c>
      <c r="K54" s="1030">
        <v>633</v>
      </c>
      <c r="L54" s="1030">
        <v>617</v>
      </c>
      <c r="M54" s="1032">
        <v>51</v>
      </c>
      <c r="N54" s="515">
        <f t="shared" ref="N54:N59" si="3">SUM(D54:M54)</f>
        <v>2730</v>
      </c>
      <c r="O54" s="1232" t="s">
        <v>695</v>
      </c>
    </row>
    <row r="55" spans="1:15" ht="21" customHeight="1">
      <c r="A55" s="2602"/>
      <c r="B55" s="2604"/>
      <c r="C55" s="313" t="s">
        <v>1677</v>
      </c>
      <c r="D55" s="1033">
        <v>0</v>
      </c>
      <c r="E55" s="1033">
        <v>0</v>
      </c>
      <c r="F55" s="1033">
        <v>3</v>
      </c>
      <c r="G55" s="1033">
        <v>16</v>
      </c>
      <c r="H55" s="1033">
        <v>47</v>
      </c>
      <c r="I55" s="1033">
        <v>0</v>
      </c>
      <c r="J55" s="1033">
        <v>4</v>
      </c>
      <c r="K55" s="1033">
        <v>7</v>
      </c>
      <c r="L55" s="1033">
        <v>5</v>
      </c>
      <c r="M55" s="1034">
        <v>29</v>
      </c>
      <c r="N55" s="516">
        <f t="shared" si="3"/>
        <v>111</v>
      </c>
      <c r="O55" s="1232" t="s">
        <v>181</v>
      </c>
    </row>
    <row r="56" spans="1:15" ht="21" customHeight="1">
      <c r="A56" s="2602"/>
      <c r="B56" s="2604"/>
      <c r="C56" s="313" t="s">
        <v>1678</v>
      </c>
      <c r="D56" s="1033">
        <v>0</v>
      </c>
      <c r="E56" s="1033">
        <v>0</v>
      </c>
      <c r="F56" s="1033">
        <v>0</v>
      </c>
      <c r="G56" s="1033">
        <v>0</v>
      </c>
      <c r="H56" s="1033">
        <v>0</v>
      </c>
      <c r="I56" s="1033">
        <v>0</v>
      </c>
      <c r="J56" s="1033">
        <v>0</v>
      </c>
      <c r="K56" s="1033">
        <v>0</v>
      </c>
      <c r="L56" s="1033">
        <v>24</v>
      </c>
      <c r="M56" s="1034">
        <v>0</v>
      </c>
      <c r="N56" s="516">
        <f t="shared" si="3"/>
        <v>24</v>
      </c>
      <c r="O56" s="1232" t="s">
        <v>183</v>
      </c>
    </row>
    <row r="57" spans="1:15" ht="33.75" customHeight="1">
      <c r="A57" s="2602"/>
      <c r="B57" s="2643" t="s">
        <v>1317</v>
      </c>
      <c r="C57" s="312" t="s">
        <v>1679</v>
      </c>
      <c r="D57" s="1033"/>
      <c r="E57" s="1033"/>
      <c r="F57" s="1033"/>
      <c r="G57" s="1033"/>
      <c r="H57" s="1033"/>
      <c r="I57" s="1033"/>
      <c r="J57" s="1033"/>
      <c r="K57" s="1033"/>
      <c r="L57" s="1033"/>
      <c r="M57" s="1034"/>
      <c r="N57" s="516">
        <f t="shared" si="3"/>
        <v>0</v>
      </c>
      <c r="O57" s="1232" t="s">
        <v>179</v>
      </c>
    </row>
    <row r="58" spans="1:15" ht="21" customHeight="1">
      <c r="A58" s="2602"/>
      <c r="B58" s="2643"/>
      <c r="C58" s="312" t="s">
        <v>1680</v>
      </c>
      <c r="D58" s="1033"/>
      <c r="E58" s="1033"/>
      <c r="F58" s="1033"/>
      <c r="G58" s="1033"/>
      <c r="H58" s="1033"/>
      <c r="I58" s="1033"/>
      <c r="J58" s="1033"/>
      <c r="K58" s="1033"/>
      <c r="L58" s="1033"/>
      <c r="M58" s="1034"/>
      <c r="N58" s="516">
        <f t="shared" si="3"/>
        <v>0</v>
      </c>
      <c r="O58" s="1232" t="s">
        <v>1912</v>
      </c>
    </row>
    <row r="59" spans="1:15" ht="35.25" customHeight="1">
      <c r="A59" s="2602"/>
      <c r="B59" s="2643"/>
      <c r="C59" s="311" t="s">
        <v>728</v>
      </c>
      <c r="D59" s="1033"/>
      <c r="E59" s="1033"/>
      <c r="F59" s="1033"/>
      <c r="G59" s="1033"/>
      <c r="H59" s="1033"/>
      <c r="I59" s="1033"/>
      <c r="J59" s="1033"/>
      <c r="K59" s="1033"/>
      <c r="L59" s="1033"/>
      <c r="M59" s="1034"/>
      <c r="N59" s="516">
        <f t="shared" si="3"/>
        <v>0</v>
      </c>
      <c r="O59" s="1232" t="s">
        <v>184</v>
      </c>
    </row>
    <row r="60" spans="1:15" ht="21" customHeight="1" thickBot="1">
      <c r="C60" s="514" t="s">
        <v>768</v>
      </c>
      <c r="D60" s="702">
        <f>SUM(D54:D59)</f>
        <v>116</v>
      </c>
      <c r="E60" s="702">
        <f t="shared" ref="E60:M60" si="4">SUM(E54:E59)</f>
        <v>68</v>
      </c>
      <c r="F60" s="702">
        <f t="shared" si="4"/>
        <v>313</v>
      </c>
      <c r="G60" s="702">
        <f t="shared" si="4"/>
        <v>194</v>
      </c>
      <c r="H60" s="702">
        <f t="shared" si="4"/>
        <v>293</v>
      </c>
      <c r="I60" s="702">
        <f t="shared" si="4"/>
        <v>179</v>
      </c>
      <c r="J60" s="702">
        <f t="shared" si="4"/>
        <v>336</v>
      </c>
      <c r="K60" s="702">
        <f t="shared" si="4"/>
        <v>640</v>
      </c>
      <c r="L60" s="702">
        <f t="shared" si="4"/>
        <v>646</v>
      </c>
      <c r="M60" s="702">
        <f t="shared" si="4"/>
        <v>80</v>
      </c>
      <c r="N60" s="703">
        <f>SUM(N54:N59)</f>
        <v>2865</v>
      </c>
      <c r="O60" s="1234" t="s">
        <v>697</v>
      </c>
    </row>
  </sheetData>
  <sheetProtection algorithmName="SHA-512" hashValue="pnTe4DGEvJ335DnhDCnrtu6lo2BTmn76DTH8U6tbbANVThQRfblPAaiMv+A4lG++UeJnJiXoJc6CrikC8AsQdw==" saltValue="kmpdBiQftT4N8Ix8InYhSA==" spinCount="100000" sheet="1" objects="1" scenarios="1"/>
  <mergeCells count="21">
    <mergeCell ref="A54:A59"/>
    <mergeCell ref="B54:B56"/>
    <mergeCell ref="B57:B59"/>
    <mergeCell ref="A16:A21"/>
    <mergeCell ref="B16:B18"/>
    <mergeCell ref="B19:B21"/>
    <mergeCell ref="A22:B24"/>
    <mergeCell ref="A3:N3"/>
    <mergeCell ref="D1:E1"/>
    <mergeCell ref="B42:B44"/>
    <mergeCell ref="A39:A44"/>
    <mergeCell ref="A5:N5"/>
    <mergeCell ref="A6:N6"/>
    <mergeCell ref="A7:N7"/>
    <mergeCell ref="A8:H8"/>
    <mergeCell ref="D51:N51"/>
    <mergeCell ref="B39:B41"/>
    <mergeCell ref="F11:G12"/>
    <mergeCell ref="H11:I12"/>
    <mergeCell ref="D36:N36"/>
    <mergeCell ref="D11:E12"/>
  </mergeCells>
  <dataValidations count="2">
    <dataValidation type="whole" allowBlank="1" showInputMessage="1" showErrorMessage="1" errorTitle="Erreur de saisie" error="Vous devez saisir une valeur entière" sqref="D39:M44 H23 D23:D24 I22:I23 H16:I21 D16:D21 E16:E24">
      <formula1>0</formula1>
      <formula2>999999999999</formula2>
    </dataValidation>
    <dataValidation type="decimal" allowBlank="1" showInputMessage="1" showErrorMessage="1" errorTitle="Erreur de saisie" error="Vous devez saisir une valeur décimale" sqref="F16:G21 G22 F23:G24 D54:M59">
      <formula1>0</formula1>
      <formula2>999999999999</formula2>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46" orientation="portrait" r:id="rId1"/>
  <headerFooter alignWithMargins="0">
    <oddFooter>&amp;LRSU 2020 - Présentation au CTP&amp;R&amp;P/&amp;N
&amp;A</oddFooter>
  </headerFooter>
  <rowBreaks count="1" manualBreakCount="1">
    <brk id="35" max="13" man="1"/>
  </rowBreaks>
</worksheet>
</file>

<file path=xl/worksheets/sheet54.xml><?xml version="1.0" encoding="utf-8"?>
<worksheet xmlns="http://schemas.openxmlformats.org/spreadsheetml/2006/main" xmlns:r="http://schemas.openxmlformats.org/officeDocument/2006/relationships">
  <sheetPr codeName="Feuil46">
    <pageSetUpPr fitToPage="1"/>
  </sheetPr>
  <dimension ref="A1:D37"/>
  <sheetViews>
    <sheetView showGridLines="0" workbookViewId="0"/>
  </sheetViews>
  <sheetFormatPr baseColWidth="10" defaultRowHeight="12.75" customHeight="1"/>
  <cols>
    <col min="1" max="1" width="42" customWidth="1"/>
    <col min="2" max="2" width="21.85546875" customWidth="1"/>
    <col min="3" max="3" width="24.140625" customWidth="1"/>
    <col min="4" max="4" width="14.140625" customWidth="1"/>
  </cols>
  <sheetData>
    <row r="1" spans="1:4" ht="17.100000000000001" customHeight="1">
      <c r="B1" s="2245" t="s">
        <v>958</v>
      </c>
      <c r="C1" s="2245"/>
    </row>
    <row r="3" spans="1:4" ht="13.5" thickBot="1"/>
    <row r="4" spans="1:4" ht="25.5" customHeight="1" thickBot="1">
      <c r="A4" s="2646" t="s">
        <v>288</v>
      </c>
      <c r="B4" s="2646"/>
      <c r="C4" s="2646"/>
    </row>
    <row r="5" spans="1:4" ht="18.75" customHeight="1"/>
    <row r="7" spans="1:4" ht="25.5" customHeight="1">
      <c r="A7" s="2649" t="s">
        <v>2525</v>
      </c>
      <c r="B7" s="2380"/>
      <c r="C7" s="2380"/>
    </row>
    <row r="8" spans="1:4">
      <c r="A8" s="2644" t="s">
        <v>543</v>
      </c>
      <c r="B8" s="2645"/>
      <c r="C8" s="2645"/>
    </row>
    <row r="10" spans="1:4" ht="48">
      <c r="B10" s="413" t="s">
        <v>2032</v>
      </c>
      <c r="C10" s="213" t="s">
        <v>1006</v>
      </c>
      <c r="D10" s="1219" t="s">
        <v>1761</v>
      </c>
    </row>
    <row r="11" spans="1:4">
      <c r="A11" s="134" t="s">
        <v>714</v>
      </c>
      <c r="B11" s="584">
        <v>4</v>
      </c>
      <c r="C11" s="1041">
        <v>44</v>
      </c>
      <c r="D11" s="1215">
        <v>1</v>
      </c>
    </row>
    <row r="12" spans="1:4">
      <c r="A12" s="134" t="s">
        <v>715</v>
      </c>
      <c r="B12" s="584">
        <v>7</v>
      </c>
      <c r="C12" s="1042">
        <v>99</v>
      </c>
      <c r="D12" s="1215">
        <v>2</v>
      </c>
    </row>
    <row r="13" spans="1:4" ht="12.75" customHeight="1">
      <c r="A13" s="96" t="s">
        <v>670</v>
      </c>
      <c r="B13" s="630">
        <v>35</v>
      </c>
      <c r="C13" s="1042">
        <v>426</v>
      </c>
      <c r="D13" s="1215">
        <v>3</v>
      </c>
    </row>
    <row r="15" spans="1:4" ht="13.5" thickBot="1"/>
    <row r="16" spans="1:4" ht="26.25" customHeight="1" thickBot="1">
      <c r="A16" s="2646" t="s">
        <v>1391</v>
      </c>
      <c r="B16" s="2646"/>
      <c r="C16" s="2646"/>
    </row>
    <row r="19" spans="1:4" ht="25.5" customHeight="1">
      <c r="A19" s="2647" t="s">
        <v>2526</v>
      </c>
      <c r="B19" s="2648"/>
      <c r="C19" s="2648"/>
    </row>
    <row r="20" spans="1:4">
      <c r="A20" s="2644" t="s">
        <v>543</v>
      </c>
      <c r="B20" s="2645"/>
      <c r="C20" s="2645"/>
    </row>
    <row r="22" spans="1:4" ht="36">
      <c r="B22" s="413" t="s">
        <v>2032</v>
      </c>
      <c r="C22" s="213" t="s">
        <v>188</v>
      </c>
      <c r="D22" s="1219" t="s">
        <v>1761</v>
      </c>
    </row>
    <row r="23" spans="1:4">
      <c r="A23" s="134" t="s">
        <v>714</v>
      </c>
      <c r="B23" s="584"/>
      <c r="C23" s="1041"/>
      <c r="D23" s="1215">
        <v>1</v>
      </c>
    </row>
    <row r="24" spans="1:4">
      <c r="A24" s="134" t="s">
        <v>715</v>
      </c>
      <c r="B24" s="584"/>
      <c r="C24" s="1042"/>
      <c r="D24" s="1215">
        <v>2</v>
      </c>
    </row>
    <row r="25" spans="1:4">
      <c r="A25" s="96" t="s">
        <v>670</v>
      </c>
      <c r="B25" s="630">
        <v>3</v>
      </c>
      <c r="C25" s="1042">
        <v>357</v>
      </c>
      <c r="D25" s="1215">
        <v>3</v>
      </c>
    </row>
    <row r="27" spans="1:4" ht="13.5" thickBot="1"/>
    <row r="28" spans="1:4" ht="27" customHeight="1" thickBot="1">
      <c r="A28" s="2646" t="s">
        <v>1007</v>
      </c>
      <c r="B28" s="2646"/>
      <c r="C28" s="2646"/>
    </row>
    <row r="31" spans="1:4" ht="25.5" customHeight="1">
      <c r="A31" s="2647" t="s">
        <v>2527</v>
      </c>
      <c r="B31" s="2648"/>
      <c r="C31" s="2648"/>
    </row>
    <row r="32" spans="1:4">
      <c r="A32" s="2644" t="s">
        <v>543</v>
      </c>
      <c r="B32" s="2645"/>
      <c r="C32" s="2645"/>
    </row>
    <row r="34" spans="1:4" ht="36">
      <c r="B34" s="413" t="s">
        <v>2032</v>
      </c>
      <c r="C34" s="213" t="s">
        <v>2046</v>
      </c>
      <c r="D34" s="1219" t="s">
        <v>1761</v>
      </c>
    </row>
    <row r="35" spans="1:4">
      <c r="A35" s="134" t="s">
        <v>714</v>
      </c>
      <c r="B35" s="584">
        <v>0</v>
      </c>
      <c r="C35" s="1041">
        <v>0</v>
      </c>
      <c r="D35" s="1215">
        <v>1</v>
      </c>
    </row>
    <row r="36" spans="1:4">
      <c r="A36" s="134" t="s">
        <v>715</v>
      </c>
      <c r="B36" s="584">
        <v>0</v>
      </c>
      <c r="C36" s="1042">
        <v>0</v>
      </c>
      <c r="D36" s="1215">
        <v>2</v>
      </c>
    </row>
    <row r="37" spans="1:4">
      <c r="A37" s="96" t="s">
        <v>670</v>
      </c>
      <c r="B37" s="630">
        <v>0</v>
      </c>
      <c r="C37" s="1042">
        <v>0</v>
      </c>
      <c r="D37" s="1215">
        <v>3</v>
      </c>
    </row>
  </sheetData>
  <sheetProtection algorithmName="SHA-512" hashValue="b9JSroa/h9gZDtHNDbTG4vTdWZhXMw1LWEnpDbrDDmXkjUPmAzg9FXRZjpzpnHB+odEP0DiWppqKulnSCgbDXQ==" saltValue="1CpmOmdlN0apY18aJX6DIg==" spinCount="100000" sheet="1" objects="1" scenarios="1"/>
  <mergeCells count="10">
    <mergeCell ref="A32:C32"/>
    <mergeCell ref="A28:C28"/>
    <mergeCell ref="A31:C31"/>
    <mergeCell ref="B1:C1"/>
    <mergeCell ref="A4:C4"/>
    <mergeCell ref="A7:C7"/>
    <mergeCell ref="A16:C16"/>
    <mergeCell ref="A19:C19"/>
    <mergeCell ref="A8:C8"/>
    <mergeCell ref="A20:C20"/>
  </mergeCells>
  <dataValidations xWindow="51397" yWindow="33457" count="2">
    <dataValidation type="whole" allowBlank="1" showInputMessage="1" showErrorMessage="1" errorTitle="Erreur de saisie" error="Vous devez saisir une valeur entière" sqref="B35:B37 B23:B25 B11:B13">
      <formula1>0</formula1>
      <formula2>999999999999</formula2>
    </dataValidation>
    <dataValidation type="decimal" allowBlank="1" showInputMessage="1" showErrorMessage="1" errorTitle="Erreur de saisie" error="Vous devez saisir une valeur décimale" sqref="C11:C13 C23:C25 C35:C37">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firstPageNumber="0" orientation="portrait" r:id="rId1"/>
  <headerFooter alignWithMargins="0">
    <oddFooter>&amp;LRSU 2020 - Présentation au CTP&amp;R&amp;P/&amp;N
&amp;A</oddFooter>
  </headerFooter>
</worksheet>
</file>

<file path=xl/worksheets/sheet55.xml><?xml version="1.0" encoding="utf-8"?>
<worksheet xmlns="http://schemas.openxmlformats.org/spreadsheetml/2006/main" xmlns:r="http://schemas.openxmlformats.org/officeDocument/2006/relationships">
  <sheetPr codeName="Feuil47">
    <pageSetUpPr fitToPage="1"/>
  </sheetPr>
  <dimension ref="A1:I20"/>
  <sheetViews>
    <sheetView showGridLines="0" workbookViewId="0"/>
  </sheetViews>
  <sheetFormatPr baseColWidth="10" defaultColWidth="10.85546875" defaultRowHeight="12.75" customHeight="1"/>
  <cols>
    <col min="1" max="1" width="28" customWidth="1"/>
    <col min="2" max="2" width="17.42578125" customWidth="1"/>
    <col min="3" max="3" width="15" customWidth="1"/>
    <col min="4" max="4" width="30.85546875" customWidth="1"/>
    <col min="5" max="5" width="3.42578125" customWidth="1"/>
    <col min="7" max="7" width="5.28515625" customWidth="1"/>
    <col min="9" max="9" width="10.85546875" customWidth="1"/>
  </cols>
  <sheetData>
    <row r="1" spans="1:9" ht="17.100000000000001" customHeight="1">
      <c r="B1" s="2245" t="s">
        <v>958</v>
      </c>
      <c r="C1" s="2245"/>
    </row>
    <row r="3" spans="1:9" ht="13.5" thickBot="1"/>
    <row r="4" spans="1:9" ht="13.5" customHeight="1" thickBot="1">
      <c r="A4" s="2646" t="s">
        <v>2047</v>
      </c>
      <c r="B4" s="2646"/>
      <c r="C4" s="2646"/>
      <c r="D4" s="2646"/>
      <c r="E4" s="2646"/>
      <c r="F4" s="2646"/>
      <c r="G4" s="2646"/>
    </row>
    <row r="5" spans="1:9" ht="13.5" customHeight="1"/>
    <row r="6" spans="1:9" ht="17.25" customHeight="1">
      <c r="A6" s="2650" t="s">
        <v>2416</v>
      </c>
      <c r="B6" s="2650"/>
      <c r="C6" s="2650"/>
      <c r="D6" s="2650"/>
      <c r="E6" s="2650"/>
      <c r="F6" s="2650"/>
      <c r="G6" s="2650"/>
    </row>
    <row r="7" spans="1:9" ht="17.25" customHeight="1"/>
    <row r="8" spans="1:9">
      <c r="A8" s="966" t="s">
        <v>26</v>
      </c>
      <c r="H8" s="1235" t="s">
        <v>1364</v>
      </c>
      <c r="I8" s="1235" t="s">
        <v>1307</v>
      </c>
    </row>
    <row r="9" spans="1:9">
      <c r="A9" s="2653" t="s">
        <v>1524</v>
      </c>
      <c r="B9" s="2653"/>
      <c r="C9" s="2653"/>
      <c r="D9" s="2653"/>
      <c r="E9" s="2653"/>
      <c r="F9" s="2651" t="s">
        <v>1124</v>
      </c>
      <c r="G9" s="2652"/>
      <c r="H9" s="1235">
        <v>1</v>
      </c>
      <c r="I9" s="1235">
        <v>1</v>
      </c>
    </row>
    <row r="10" spans="1:9">
      <c r="A10" s="2653" t="s">
        <v>1525</v>
      </c>
      <c r="B10" s="2653"/>
      <c r="C10" s="2653"/>
      <c r="D10" s="2653"/>
      <c r="E10" s="2653"/>
      <c r="F10" s="2651" t="s">
        <v>1124</v>
      </c>
      <c r="G10" s="2652"/>
      <c r="H10" s="1235">
        <v>2</v>
      </c>
      <c r="I10" s="1235">
        <v>1</v>
      </c>
    </row>
    <row r="12" spans="1:9" ht="12.75" customHeight="1">
      <c r="A12" s="2653" t="s">
        <v>1526</v>
      </c>
      <c r="B12" s="2653"/>
      <c r="C12" s="2653"/>
      <c r="D12" s="2653"/>
      <c r="E12" s="2653"/>
      <c r="F12" s="2651" t="s">
        <v>1124</v>
      </c>
      <c r="G12" s="2652"/>
      <c r="H12" s="1235">
        <v>1</v>
      </c>
      <c r="I12" s="1235">
        <v>2</v>
      </c>
    </row>
    <row r="13" spans="1:9" ht="12.75" customHeight="1">
      <c r="A13" s="2653" t="s">
        <v>1525</v>
      </c>
      <c r="B13" s="2653"/>
      <c r="C13" s="2653"/>
      <c r="D13" s="2653"/>
      <c r="E13" s="2653"/>
      <c r="F13" s="2651" t="s">
        <v>1124</v>
      </c>
      <c r="G13" s="2652"/>
      <c r="H13" s="1235">
        <v>2</v>
      </c>
      <c r="I13" s="1235">
        <v>2</v>
      </c>
    </row>
    <row r="15" spans="1:9">
      <c r="A15" s="967" t="s">
        <v>27</v>
      </c>
    </row>
    <row r="16" spans="1:9">
      <c r="A16" s="2653" t="s">
        <v>1527</v>
      </c>
      <c r="B16" s="2653"/>
      <c r="C16" s="2653"/>
      <c r="D16" s="2653"/>
      <c r="E16" s="2653"/>
      <c r="F16" s="2651" t="s">
        <v>1124</v>
      </c>
      <c r="G16" s="2652"/>
      <c r="H16" s="1235">
        <v>3</v>
      </c>
      <c r="I16" s="1235">
        <v>1</v>
      </c>
    </row>
    <row r="17" spans="1:9">
      <c r="A17" s="2653" t="s">
        <v>1528</v>
      </c>
      <c r="B17" s="2653"/>
      <c r="C17" s="2653"/>
      <c r="D17" s="2653"/>
      <c r="E17" s="2653"/>
      <c r="F17" s="2651" t="s">
        <v>1124</v>
      </c>
      <c r="G17" s="2652"/>
      <c r="H17" s="1235">
        <v>4</v>
      </c>
      <c r="I17" s="1235">
        <v>1</v>
      </c>
    </row>
    <row r="19" spans="1:9" ht="12.75" customHeight="1">
      <c r="A19" s="2653" t="s">
        <v>1529</v>
      </c>
      <c r="B19" s="2653"/>
      <c r="C19" s="2653"/>
      <c r="D19" s="2653"/>
      <c r="E19" s="2653"/>
      <c r="F19" s="2651" t="s">
        <v>1124</v>
      </c>
      <c r="G19" s="2652"/>
      <c r="H19" s="1235">
        <v>3</v>
      </c>
      <c r="I19" s="1235">
        <v>2</v>
      </c>
    </row>
    <row r="20" spans="1:9" ht="12.75" customHeight="1">
      <c r="A20" s="2653" t="s">
        <v>1528</v>
      </c>
      <c r="B20" s="2653"/>
      <c r="C20" s="2653"/>
      <c r="D20" s="2653"/>
      <c r="E20" s="2653"/>
      <c r="F20" s="2651" t="s">
        <v>1124</v>
      </c>
      <c r="G20" s="2652"/>
      <c r="H20" s="1235">
        <v>4</v>
      </c>
      <c r="I20" s="1235">
        <v>2</v>
      </c>
    </row>
  </sheetData>
  <sheetProtection algorithmName="SHA-512" hashValue="Pp/y0Ft+UddhZwAVN+dwkk225SGJd1uIBYBIqH4tW80bV6XvpoLLEMX/XmJXDnRigDKmRW7DdXIxZuUI74OGxg==" saltValue="QboUBqf6DjEi3Yo7+VLaug==" spinCount="100000" sheet="1" objects="1" scenarios="1"/>
  <mergeCells count="19">
    <mergeCell ref="A20:E20"/>
    <mergeCell ref="F20:G20"/>
    <mergeCell ref="A16:E16"/>
    <mergeCell ref="A19:E19"/>
    <mergeCell ref="F19:G19"/>
    <mergeCell ref="A17:E17"/>
    <mergeCell ref="F17:G17"/>
    <mergeCell ref="F16:G16"/>
    <mergeCell ref="B1:C1"/>
    <mergeCell ref="A4:G4"/>
    <mergeCell ref="A6:G6"/>
    <mergeCell ref="F9:G9"/>
    <mergeCell ref="F13:G13"/>
    <mergeCell ref="A9:E9"/>
    <mergeCell ref="A10:E10"/>
    <mergeCell ref="F10:G10"/>
    <mergeCell ref="A12:E12"/>
    <mergeCell ref="F12:G12"/>
    <mergeCell ref="A13:E13"/>
  </mergeCells>
  <dataValidations xWindow="47196" yWindow="5818" count="1">
    <dataValidation type="list" allowBlank="1" showInputMessage="1" showErrorMessage="1" errorTitle="Erreur de saisie" error="Vous devez saisir une valeur dans la liste" sqref="F9:G9 F10:G10 F12:G12 F13:G13 F16:G16 F17:G17 F19:G19 F20:G20">
      <formula1>lstReponse</formula1>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83" firstPageNumber="0" orientation="portrait" r:id="rId1"/>
  <headerFooter alignWithMargins="0">
    <oddFooter>&amp;LRSU 2020 - Présentation au CTP&amp;R&amp;P/&amp;N
&amp;A</oddFooter>
  </headerFooter>
</worksheet>
</file>

<file path=xl/worksheets/sheet56.xml><?xml version="1.0" encoding="utf-8"?>
<worksheet xmlns="http://schemas.openxmlformats.org/spreadsheetml/2006/main" xmlns:r="http://schemas.openxmlformats.org/officeDocument/2006/relationships">
  <sheetPr codeName="Feuil48">
    <pageSetUpPr fitToPage="1"/>
  </sheetPr>
  <dimension ref="A1:IV124"/>
  <sheetViews>
    <sheetView showGridLines="0" topLeftCell="A94" zoomScaleNormal="85" workbookViewId="0"/>
  </sheetViews>
  <sheetFormatPr baseColWidth="10" defaultColWidth="10.85546875" defaultRowHeight="12.75" customHeight="1"/>
  <cols>
    <col min="1" max="7" width="10.85546875" customWidth="1"/>
    <col min="8" max="8" width="17.42578125" customWidth="1"/>
    <col min="9" max="12" width="10.85546875" customWidth="1"/>
    <col min="13" max="26" width="11.42578125" customWidth="1"/>
  </cols>
  <sheetData>
    <row r="1" spans="1:26" s="1093" customFormat="1">
      <c r="A1" s="1094"/>
      <c r="B1" s="1094"/>
      <c r="C1" s="1094"/>
      <c r="D1" s="2245" t="s">
        <v>958</v>
      </c>
      <c r="E1" s="2245"/>
      <c r="F1" s="1094"/>
      <c r="G1" s="1097"/>
      <c r="H1" s="1097"/>
      <c r="I1"/>
      <c r="J1"/>
      <c r="K1"/>
      <c r="L1"/>
      <c r="M1"/>
      <c r="N1"/>
      <c r="O1"/>
      <c r="P1"/>
      <c r="Q1"/>
      <c r="R1"/>
      <c r="S1"/>
      <c r="T1"/>
      <c r="U1"/>
      <c r="V1"/>
      <c r="W1"/>
      <c r="X1"/>
      <c r="Y1"/>
      <c r="Z1"/>
    </row>
    <row r="2" spans="1:26" ht="13.5" thickBot="1"/>
    <row r="3" spans="1:26" s="1093" customFormat="1" ht="13.5" thickBot="1">
      <c r="A3" s="2386" t="s">
        <v>1288</v>
      </c>
      <c r="B3" s="2386"/>
      <c r="C3" s="2386"/>
      <c r="D3" s="2386"/>
      <c r="E3" s="2386"/>
      <c r="F3" s="2386"/>
      <c r="G3" s="2386"/>
      <c r="H3" s="2386"/>
      <c r="I3"/>
      <c r="J3"/>
      <c r="K3"/>
      <c r="L3"/>
      <c r="M3"/>
      <c r="N3"/>
      <c r="O3"/>
      <c r="P3"/>
      <c r="Q3"/>
      <c r="R3"/>
      <c r="S3"/>
      <c r="T3"/>
      <c r="U3"/>
      <c r="V3"/>
      <c r="W3"/>
      <c r="X3"/>
      <c r="Y3"/>
      <c r="Z3"/>
    </row>
    <row r="5" spans="1:26" s="1093" customFormat="1" ht="12.75" customHeight="1">
      <c r="A5" s="2666" t="s">
        <v>2304</v>
      </c>
      <c r="B5" s="2666"/>
      <c r="C5" s="2666"/>
      <c r="D5" s="2666"/>
      <c r="E5" s="2666"/>
      <c r="F5" s="2666"/>
      <c r="G5" s="2666"/>
      <c r="H5" s="2666"/>
      <c r="I5"/>
      <c r="J5"/>
      <c r="K5"/>
      <c r="L5"/>
      <c r="M5"/>
      <c r="N5"/>
      <c r="O5"/>
      <c r="P5"/>
      <c r="Q5"/>
      <c r="R5"/>
      <c r="S5"/>
      <c r="T5"/>
      <c r="U5"/>
      <c r="V5"/>
      <c r="W5"/>
      <c r="X5"/>
      <c r="Y5"/>
      <c r="Z5"/>
    </row>
    <row r="6" spans="1:26" s="1095" customFormat="1" ht="12.75" customHeight="1">
      <c r="A6" s="2242" t="s">
        <v>589</v>
      </c>
      <c r="B6" s="2242"/>
      <c r="C6" s="2242"/>
      <c r="D6" s="2242"/>
      <c r="E6" s="2242"/>
      <c r="F6" s="2242"/>
      <c r="G6" s="2242"/>
      <c r="H6" s="2242"/>
      <c r="I6"/>
      <c r="J6"/>
      <c r="K6"/>
      <c r="L6"/>
      <c r="M6"/>
      <c r="N6"/>
      <c r="O6"/>
      <c r="P6"/>
      <c r="Q6"/>
      <c r="R6"/>
      <c r="S6"/>
      <c r="T6"/>
      <c r="U6"/>
      <c r="V6"/>
      <c r="W6"/>
      <c r="X6"/>
      <c r="Y6"/>
      <c r="Z6"/>
    </row>
    <row r="7" spans="1:26" s="1095" customFormat="1" ht="12.75" customHeight="1">
      <c r="A7" s="2244" t="s">
        <v>590</v>
      </c>
      <c r="B7" s="2244"/>
      <c r="C7" s="2244"/>
      <c r="D7" s="2244"/>
      <c r="E7" s="2244"/>
      <c r="F7" s="2244"/>
      <c r="G7" s="2244"/>
      <c r="H7" s="2244"/>
      <c r="I7"/>
      <c r="J7"/>
      <c r="K7"/>
      <c r="L7"/>
      <c r="M7"/>
      <c r="N7"/>
      <c r="O7"/>
      <c r="P7"/>
      <c r="Q7"/>
      <c r="R7"/>
      <c r="S7"/>
      <c r="T7"/>
      <c r="U7"/>
      <c r="V7"/>
      <c r="W7"/>
      <c r="X7"/>
      <c r="Y7"/>
      <c r="Z7"/>
    </row>
    <row r="9" spans="1:26" s="1095" customFormat="1" ht="12.75" customHeight="1">
      <c r="A9" s="2244" t="s">
        <v>959</v>
      </c>
      <c r="B9" s="2244"/>
      <c r="C9" s="2244"/>
      <c r="D9" s="2244"/>
      <c r="E9" s="2244"/>
      <c r="F9" s="2244"/>
      <c r="G9" s="2244"/>
      <c r="H9" s="2244"/>
      <c r="I9"/>
      <c r="J9"/>
      <c r="K9"/>
      <c r="L9"/>
      <c r="M9"/>
      <c r="N9"/>
      <c r="O9"/>
      <c r="P9"/>
      <c r="Q9"/>
      <c r="R9"/>
      <c r="S9"/>
      <c r="T9"/>
      <c r="U9"/>
      <c r="V9"/>
      <c r="W9"/>
      <c r="X9"/>
      <c r="Y9"/>
      <c r="Z9"/>
    </row>
    <row r="10" spans="1:26" s="1096" customFormat="1" ht="12.75" customHeight="1">
      <c r="A10" s="2239" t="s">
        <v>591</v>
      </c>
      <c r="B10" s="2239"/>
      <c r="C10" s="2239"/>
      <c r="D10" s="2239"/>
      <c r="E10" s="2239"/>
      <c r="F10" s="2239"/>
      <c r="G10" s="2239"/>
      <c r="H10" s="2239"/>
      <c r="I10"/>
      <c r="J10"/>
      <c r="K10"/>
      <c r="L10"/>
      <c r="M10"/>
      <c r="N10"/>
      <c r="O10"/>
      <c r="P10"/>
      <c r="Q10"/>
      <c r="R10"/>
      <c r="S10"/>
      <c r="T10"/>
      <c r="U10"/>
      <c r="V10"/>
      <c r="W10"/>
      <c r="X10"/>
      <c r="Y10"/>
      <c r="Z10"/>
    </row>
    <row r="11" spans="1:26" s="1096" customFormat="1" ht="12.75" customHeight="1">
      <c r="A11" s="2239" t="s">
        <v>592</v>
      </c>
      <c r="B11" s="2239"/>
      <c r="C11" s="2239"/>
      <c r="D11" s="2239"/>
      <c r="E11" s="2239"/>
      <c r="F11" s="2239"/>
      <c r="G11" s="2239"/>
      <c r="H11" s="2239"/>
      <c r="I11"/>
      <c r="J11"/>
      <c r="K11"/>
      <c r="L11"/>
      <c r="M11"/>
      <c r="N11"/>
      <c r="O11"/>
      <c r="P11"/>
      <c r="Q11"/>
      <c r="R11"/>
      <c r="S11"/>
      <c r="T11"/>
      <c r="U11"/>
      <c r="V11"/>
      <c r="W11"/>
      <c r="X11"/>
      <c r="Y11"/>
      <c r="Z11"/>
    </row>
    <row r="12" spans="1:26" s="1096" customFormat="1" ht="12.75" customHeight="1">
      <c r="A12" s="2239" t="s">
        <v>2357</v>
      </c>
      <c r="B12" s="2239"/>
      <c r="C12" s="2239"/>
      <c r="D12" s="2239"/>
      <c r="E12" s="2239"/>
      <c r="F12" s="2239"/>
      <c r="G12" s="2239"/>
      <c r="H12" s="2239"/>
      <c r="I12"/>
      <c r="J12"/>
      <c r="K12"/>
      <c r="L12"/>
      <c r="M12"/>
      <c r="N12"/>
      <c r="O12"/>
      <c r="P12"/>
      <c r="Q12"/>
      <c r="R12"/>
      <c r="S12"/>
      <c r="T12"/>
      <c r="U12"/>
      <c r="V12"/>
      <c r="W12"/>
      <c r="X12"/>
      <c r="Y12"/>
      <c r="Z12"/>
    </row>
    <row r="14" spans="1:26" s="1096" customFormat="1" ht="12.75" customHeight="1">
      <c r="A14" s="2676" t="s">
        <v>1294</v>
      </c>
      <c r="B14" s="2676"/>
      <c r="C14" s="2676"/>
      <c r="D14" s="2676"/>
      <c r="E14" s="2676"/>
      <c r="F14" s="2676"/>
      <c r="G14" s="2676"/>
      <c r="H14" s="2676"/>
      <c r="I14"/>
      <c r="J14"/>
      <c r="K14"/>
      <c r="L14"/>
      <c r="M14"/>
      <c r="N14"/>
      <c r="O14"/>
      <c r="P14"/>
      <c r="Q14"/>
      <c r="R14"/>
      <c r="S14"/>
      <c r="T14"/>
      <c r="U14"/>
      <c r="V14"/>
      <c r="W14"/>
      <c r="X14"/>
      <c r="Y14"/>
      <c r="Z14"/>
    </row>
    <row r="15" spans="1:26" s="1096" customFormat="1" ht="12.75" customHeight="1">
      <c r="A15" s="2677" t="s">
        <v>593</v>
      </c>
      <c r="B15" s="2677"/>
      <c r="C15" s="2677"/>
      <c r="D15" s="2677"/>
      <c r="E15" s="2677"/>
      <c r="F15" s="2677"/>
      <c r="G15" s="2677"/>
      <c r="H15" s="2677"/>
      <c r="I15"/>
      <c r="J15"/>
      <c r="K15"/>
      <c r="L15"/>
      <c r="M15"/>
      <c r="N15"/>
      <c r="O15"/>
      <c r="P15"/>
      <c r="Q15"/>
      <c r="R15"/>
      <c r="S15"/>
      <c r="T15"/>
      <c r="U15"/>
      <c r="V15"/>
      <c r="W15"/>
      <c r="X15"/>
      <c r="Y15"/>
      <c r="Z15"/>
    </row>
    <row r="16" spans="1:26" s="1096" customFormat="1" ht="12.75" customHeight="1">
      <c r="A16" s="2677" t="s">
        <v>594</v>
      </c>
      <c r="B16" s="2677"/>
      <c r="C16" s="2677"/>
      <c r="D16" s="2677"/>
      <c r="E16" s="2677"/>
      <c r="F16" s="2677"/>
      <c r="G16" s="2677"/>
      <c r="H16" s="2677"/>
      <c r="I16"/>
      <c r="J16"/>
      <c r="K16"/>
      <c r="L16"/>
      <c r="M16"/>
      <c r="N16"/>
      <c r="O16"/>
      <c r="P16"/>
      <c r="Q16"/>
      <c r="R16"/>
      <c r="S16"/>
      <c r="T16"/>
      <c r="U16"/>
      <c r="V16"/>
      <c r="W16"/>
      <c r="X16"/>
      <c r="Y16"/>
      <c r="Z16"/>
    </row>
    <row r="18" spans="1:26" s="1095" customFormat="1" ht="12.75" customHeight="1">
      <c r="A18" s="2244" t="s">
        <v>960</v>
      </c>
      <c r="B18" s="2244"/>
      <c r="C18" s="2244"/>
      <c r="D18" s="2244"/>
      <c r="E18" s="2244"/>
      <c r="F18" s="2244"/>
      <c r="G18" s="2244"/>
      <c r="H18" s="2244"/>
      <c r="I18"/>
      <c r="J18"/>
      <c r="K18"/>
      <c r="L18"/>
      <c r="M18"/>
      <c r="N18"/>
      <c r="O18"/>
      <c r="P18"/>
      <c r="Q18"/>
      <c r="R18"/>
      <c r="S18"/>
      <c r="T18"/>
      <c r="U18"/>
      <c r="V18"/>
      <c r="W18"/>
      <c r="X18"/>
      <c r="Y18"/>
      <c r="Z18"/>
    </row>
    <row r="19" spans="1:26" s="1096" customFormat="1" ht="37.5" customHeight="1">
      <c r="A19" s="2239" t="s">
        <v>595</v>
      </c>
      <c r="B19" s="2239"/>
      <c r="C19" s="2239"/>
      <c r="D19" s="2239"/>
      <c r="E19" s="2239"/>
      <c r="F19" s="2239"/>
      <c r="G19" s="2239"/>
      <c r="H19" s="2239"/>
      <c r="I19"/>
      <c r="J19"/>
      <c r="K19"/>
      <c r="L19"/>
      <c r="M19"/>
      <c r="N19"/>
      <c r="O19"/>
      <c r="P19"/>
      <c r="Q19"/>
      <c r="R19"/>
      <c r="S19"/>
      <c r="T19"/>
      <c r="U19"/>
      <c r="V19"/>
      <c r="W19"/>
      <c r="X19"/>
      <c r="Y19"/>
      <c r="Z19"/>
    </row>
    <row r="20" spans="1:26" s="1095" customFormat="1" ht="12.75" customHeight="1">
      <c r="A20" s="2264" t="s">
        <v>596</v>
      </c>
      <c r="B20" s="2259"/>
      <c r="C20" s="2259"/>
      <c r="D20" s="2259"/>
      <c r="E20" s="2259"/>
      <c r="F20" s="2259"/>
      <c r="G20" s="2259"/>
      <c r="H20" s="2259"/>
      <c r="I20"/>
      <c r="J20"/>
      <c r="K20"/>
      <c r="L20"/>
      <c r="M20"/>
      <c r="N20"/>
      <c r="O20"/>
      <c r="P20"/>
      <c r="Q20"/>
      <c r="R20"/>
      <c r="S20"/>
      <c r="T20"/>
      <c r="U20"/>
      <c r="V20"/>
      <c r="W20"/>
      <c r="X20"/>
      <c r="Y20"/>
      <c r="Z20"/>
    </row>
    <row r="21" spans="1:26" s="1095" customFormat="1" ht="12.75" customHeight="1">
      <c r="A21" s="2264" t="s">
        <v>597</v>
      </c>
      <c r="B21" s="2259"/>
      <c r="C21" s="2259"/>
      <c r="D21" s="2259"/>
      <c r="E21" s="2259"/>
      <c r="F21" s="2259"/>
      <c r="G21" s="2259"/>
      <c r="H21" s="2259"/>
      <c r="I21"/>
      <c r="J21"/>
      <c r="K21"/>
      <c r="L21"/>
      <c r="M21"/>
      <c r="N21"/>
      <c r="O21"/>
      <c r="P21"/>
      <c r="Q21"/>
      <c r="R21"/>
      <c r="S21"/>
      <c r="T21"/>
      <c r="U21"/>
      <c r="V21"/>
      <c r="W21"/>
      <c r="X21"/>
      <c r="Y21"/>
      <c r="Z21"/>
    </row>
    <row r="22" spans="1:26" s="1095" customFormat="1" ht="12.75" customHeight="1">
      <c r="A22" s="2264" t="s">
        <v>598</v>
      </c>
      <c r="B22" s="2259"/>
      <c r="C22" s="2259"/>
      <c r="D22" s="2259"/>
      <c r="E22" s="2259"/>
      <c r="F22" s="2259"/>
      <c r="G22" s="2259"/>
      <c r="H22" s="2259"/>
      <c r="I22"/>
      <c r="J22"/>
      <c r="K22"/>
      <c r="L22"/>
      <c r="M22"/>
      <c r="N22"/>
      <c r="O22"/>
      <c r="P22"/>
      <c r="Q22"/>
      <c r="R22"/>
      <c r="S22"/>
      <c r="T22"/>
      <c r="U22"/>
      <c r="V22"/>
      <c r="W22"/>
      <c r="X22"/>
      <c r="Y22"/>
      <c r="Z22"/>
    </row>
    <row r="23" spans="1:26" s="1095" customFormat="1" ht="12.75" customHeight="1">
      <c r="A23" s="2264" t="s">
        <v>599</v>
      </c>
      <c r="B23" s="2259"/>
      <c r="C23" s="2259"/>
      <c r="D23" s="2259"/>
      <c r="E23" s="2259"/>
      <c r="F23" s="2259"/>
      <c r="G23" s="2259"/>
      <c r="H23" s="2259"/>
      <c r="I23"/>
      <c r="J23"/>
      <c r="K23"/>
      <c r="L23"/>
      <c r="M23"/>
      <c r="N23"/>
      <c r="O23"/>
      <c r="P23"/>
      <c r="Q23"/>
      <c r="R23"/>
      <c r="S23"/>
      <c r="T23"/>
      <c r="U23"/>
      <c r="V23"/>
      <c r="W23"/>
      <c r="X23"/>
      <c r="Y23"/>
      <c r="Z23"/>
    </row>
    <row r="24" spans="1:26" s="1095" customFormat="1" ht="12.75" customHeight="1">
      <c r="A24" s="2264" t="s">
        <v>600</v>
      </c>
      <c r="B24" s="2259"/>
      <c r="C24" s="2259"/>
      <c r="D24" s="2259"/>
      <c r="E24" s="2259"/>
      <c r="F24" s="2259"/>
      <c r="G24" s="2259"/>
      <c r="H24" s="2259"/>
      <c r="I24"/>
      <c r="J24"/>
      <c r="K24"/>
      <c r="L24"/>
      <c r="M24"/>
      <c r="N24"/>
      <c r="O24"/>
      <c r="P24"/>
      <c r="Q24"/>
      <c r="R24"/>
      <c r="S24"/>
      <c r="T24"/>
      <c r="U24"/>
      <c r="V24"/>
      <c r="W24"/>
      <c r="X24"/>
      <c r="Y24"/>
      <c r="Z24"/>
    </row>
    <row r="25" spans="1:26" s="1095" customFormat="1" ht="12.75" customHeight="1">
      <c r="A25" s="2264" t="s">
        <v>601</v>
      </c>
      <c r="B25" s="2259"/>
      <c r="C25" s="2259"/>
      <c r="D25" s="2259"/>
      <c r="E25" s="2259"/>
      <c r="F25" s="2259"/>
      <c r="G25" s="2259"/>
      <c r="H25" s="2259"/>
      <c r="I25"/>
      <c r="J25"/>
      <c r="K25"/>
      <c r="L25"/>
      <c r="M25"/>
      <c r="N25"/>
      <c r="O25"/>
      <c r="P25"/>
      <c r="Q25"/>
      <c r="R25"/>
      <c r="S25"/>
      <c r="T25"/>
      <c r="U25"/>
      <c r="V25"/>
      <c r="W25"/>
      <c r="X25"/>
      <c r="Y25"/>
      <c r="Z25"/>
    </row>
    <row r="27" spans="1:26" s="1124" customFormat="1" ht="12.75" customHeight="1">
      <c r="A27" s="2675" t="s">
        <v>189</v>
      </c>
      <c r="B27" s="2675"/>
      <c r="C27" s="2675"/>
      <c r="D27" s="2675"/>
      <c r="E27" s="2675"/>
      <c r="F27" s="2675"/>
      <c r="G27" s="2675"/>
      <c r="H27" s="2675"/>
      <c r="I27"/>
      <c r="J27"/>
      <c r="K27"/>
      <c r="L27"/>
      <c r="M27"/>
      <c r="N27"/>
      <c r="O27"/>
      <c r="P27"/>
      <c r="Q27"/>
      <c r="R27"/>
      <c r="S27"/>
      <c r="T27"/>
      <c r="U27"/>
      <c r="V27"/>
      <c r="W27"/>
      <c r="X27"/>
      <c r="Y27"/>
      <c r="Z27"/>
    </row>
    <row r="29" spans="1:26" s="1096" customFormat="1" ht="12.75" customHeight="1">
      <c r="A29" s="2674" t="s">
        <v>1294</v>
      </c>
      <c r="B29" s="2674"/>
      <c r="C29" s="2674"/>
      <c r="D29" s="2674"/>
      <c r="E29" s="2674"/>
      <c r="F29" s="2674"/>
      <c r="G29" s="2674"/>
      <c r="H29" s="2674"/>
      <c r="I29"/>
      <c r="J29"/>
      <c r="K29"/>
      <c r="L29"/>
      <c r="M29"/>
      <c r="N29"/>
      <c r="O29"/>
      <c r="P29"/>
      <c r="Q29"/>
      <c r="R29"/>
      <c r="S29"/>
      <c r="T29"/>
      <c r="U29"/>
      <c r="V29"/>
      <c r="W29"/>
      <c r="X29"/>
      <c r="Y29"/>
      <c r="Z29"/>
    </row>
    <row r="30" spans="1:26" s="1096" customFormat="1" ht="13.15" customHeight="1">
      <c r="A30" s="2425" t="s">
        <v>190</v>
      </c>
      <c r="B30" s="2426"/>
      <c r="C30" s="2426"/>
      <c r="D30" s="2426"/>
      <c r="E30" s="2426"/>
      <c r="F30" s="2426"/>
      <c r="G30" s="2426"/>
      <c r="H30" s="2426"/>
      <c r="I30"/>
      <c r="J30"/>
      <c r="K30"/>
      <c r="L30"/>
      <c r="M30"/>
      <c r="N30"/>
      <c r="O30"/>
      <c r="P30"/>
      <c r="Q30"/>
      <c r="R30"/>
      <c r="S30"/>
      <c r="T30"/>
      <c r="U30"/>
      <c r="V30"/>
      <c r="W30"/>
      <c r="X30"/>
      <c r="Y30"/>
      <c r="Z30"/>
    </row>
    <row r="31" spans="1:26" s="1096" customFormat="1" ht="25.5" customHeight="1">
      <c r="A31" s="2425" t="s">
        <v>191</v>
      </c>
      <c r="B31" s="2426"/>
      <c r="C31" s="2426"/>
      <c r="D31" s="2426"/>
      <c r="E31" s="2426"/>
      <c r="F31" s="2426"/>
      <c r="G31" s="2426"/>
      <c r="H31" s="2426"/>
      <c r="I31"/>
      <c r="J31"/>
      <c r="K31"/>
      <c r="L31"/>
      <c r="M31"/>
      <c r="N31"/>
      <c r="O31"/>
      <c r="P31"/>
      <c r="Q31"/>
      <c r="R31"/>
      <c r="S31"/>
      <c r="T31"/>
      <c r="U31"/>
      <c r="V31"/>
      <c r="W31"/>
      <c r="X31"/>
      <c r="Y31"/>
      <c r="Z31"/>
    </row>
    <row r="34" spans="1:26" s="1124" customFormat="1" ht="12.75" customHeight="1">
      <c r="A34" s="2666" t="s">
        <v>1530</v>
      </c>
      <c r="B34" s="2666"/>
      <c r="C34" s="2666"/>
      <c r="D34" s="2666"/>
      <c r="E34" s="2666"/>
      <c r="F34" s="2666"/>
      <c r="G34" s="2666"/>
      <c r="H34" s="2666"/>
      <c r="I34"/>
      <c r="J34"/>
      <c r="K34"/>
      <c r="L34"/>
      <c r="M34"/>
      <c r="N34"/>
      <c r="O34"/>
      <c r="P34"/>
      <c r="Q34"/>
      <c r="R34"/>
      <c r="S34"/>
      <c r="T34"/>
      <c r="U34"/>
      <c r="V34"/>
      <c r="W34"/>
      <c r="X34"/>
      <c r="Y34"/>
      <c r="Z34"/>
    </row>
    <row r="35" spans="1:26" s="1124" customFormat="1" ht="12.75" customHeight="1">
      <c r="A35" s="2242" t="s">
        <v>192</v>
      </c>
      <c r="B35" s="2242"/>
      <c r="C35" s="2242"/>
      <c r="D35" s="2242"/>
      <c r="E35" s="2242"/>
      <c r="F35" s="2242"/>
      <c r="G35" s="2242"/>
      <c r="H35" s="2242"/>
      <c r="I35"/>
      <c r="J35"/>
      <c r="K35"/>
      <c r="L35"/>
      <c r="M35"/>
      <c r="N35"/>
      <c r="O35"/>
      <c r="P35"/>
      <c r="Q35"/>
      <c r="R35"/>
      <c r="S35"/>
      <c r="T35"/>
      <c r="U35"/>
      <c r="V35"/>
      <c r="W35"/>
      <c r="X35"/>
      <c r="Y35"/>
      <c r="Z35"/>
    </row>
    <row r="36" spans="1:26" s="1124" customFormat="1" ht="12.75" customHeight="1">
      <c r="A36" s="2244" t="s">
        <v>1536</v>
      </c>
      <c r="B36" s="2244"/>
      <c r="C36" s="2244"/>
      <c r="D36" s="2244"/>
      <c r="E36" s="2244"/>
      <c r="F36" s="2244"/>
      <c r="G36" s="2244"/>
      <c r="H36" s="2244"/>
      <c r="I36"/>
      <c r="J36"/>
      <c r="K36"/>
      <c r="L36"/>
      <c r="M36"/>
      <c r="N36"/>
      <c r="O36"/>
      <c r="P36"/>
      <c r="Q36"/>
      <c r="R36"/>
      <c r="S36"/>
      <c r="T36"/>
      <c r="U36"/>
      <c r="V36"/>
      <c r="W36"/>
      <c r="X36"/>
      <c r="Y36"/>
      <c r="Z36"/>
    </row>
    <row r="38" spans="1:26" s="1124" customFormat="1" ht="12.75" customHeight="1">
      <c r="A38" s="2244" t="s">
        <v>959</v>
      </c>
      <c r="B38" s="2244"/>
      <c r="C38" s="2244"/>
      <c r="D38" s="2244"/>
      <c r="E38" s="2244"/>
      <c r="F38" s="2244"/>
      <c r="G38" s="2244"/>
      <c r="H38" s="2244"/>
      <c r="I38"/>
      <c r="J38"/>
      <c r="K38"/>
      <c r="L38"/>
      <c r="M38"/>
      <c r="N38"/>
      <c r="O38"/>
      <c r="P38"/>
      <c r="Q38"/>
      <c r="R38"/>
      <c r="S38"/>
      <c r="T38"/>
      <c r="U38"/>
      <c r="V38"/>
      <c r="W38"/>
      <c r="X38"/>
      <c r="Y38"/>
      <c r="Z38"/>
    </row>
    <row r="39" spans="1:26" s="1124" customFormat="1" ht="12.75" customHeight="1">
      <c r="A39" s="2239" t="s">
        <v>591</v>
      </c>
      <c r="B39" s="2239"/>
      <c r="C39" s="2239"/>
      <c r="D39" s="2239"/>
      <c r="E39" s="2239"/>
      <c r="F39" s="2239"/>
      <c r="G39" s="2239"/>
      <c r="H39" s="2239"/>
      <c r="I39"/>
      <c r="J39"/>
      <c r="K39"/>
      <c r="L39"/>
      <c r="M39"/>
      <c r="N39"/>
      <c r="O39"/>
      <c r="P39"/>
      <c r="Q39"/>
      <c r="R39"/>
      <c r="S39"/>
      <c r="T39"/>
      <c r="U39"/>
      <c r="V39"/>
      <c r="W39"/>
      <c r="X39"/>
      <c r="Y39"/>
      <c r="Z39"/>
    </row>
    <row r="40" spans="1:26" s="1124" customFormat="1" ht="12.75" customHeight="1">
      <c r="A40" s="2239" t="s">
        <v>193</v>
      </c>
      <c r="B40" s="2239"/>
      <c r="C40" s="2239"/>
      <c r="D40" s="2239"/>
      <c r="E40" s="2239"/>
      <c r="F40" s="2239"/>
      <c r="G40" s="2239"/>
      <c r="H40" s="2239"/>
      <c r="I40"/>
      <c r="J40"/>
      <c r="K40"/>
      <c r="L40"/>
      <c r="M40"/>
      <c r="N40"/>
      <c r="O40"/>
      <c r="P40"/>
      <c r="Q40"/>
      <c r="R40"/>
      <c r="S40"/>
      <c r="T40"/>
      <c r="U40"/>
      <c r="V40"/>
      <c r="W40"/>
      <c r="X40"/>
      <c r="Y40"/>
      <c r="Z40"/>
    </row>
    <row r="41" spans="1:26" s="1124" customFormat="1" ht="12.75" customHeight="1">
      <c r="A41" s="2239" t="s">
        <v>194</v>
      </c>
      <c r="B41" s="2239"/>
      <c r="C41" s="2239"/>
      <c r="D41" s="2239"/>
      <c r="E41" s="2239"/>
      <c r="F41" s="2239"/>
      <c r="G41" s="2239"/>
      <c r="H41" s="2239"/>
      <c r="I41"/>
      <c r="J41"/>
      <c r="K41"/>
      <c r="L41"/>
      <c r="M41"/>
      <c r="N41"/>
      <c r="O41"/>
      <c r="P41"/>
      <c r="Q41"/>
      <c r="R41"/>
      <c r="S41"/>
      <c r="T41"/>
      <c r="U41"/>
      <c r="V41"/>
      <c r="W41"/>
      <c r="X41"/>
      <c r="Y41"/>
      <c r="Z41"/>
    </row>
    <row r="42" spans="1:26" s="1124" customFormat="1" ht="12.75" customHeight="1">
      <c r="A42" s="2239" t="s">
        <v>2371</v>
      </c>
      <c r="B42" s="2239"/>
      <c r="C42" s="2239"/>
      <c r="D42" s="2239"/>
      <c r="E42" s="2239"/>
      <c r="F42" s="2239"/>
      <c r="G42" s="2239"/>
      <c r="H42" s="2239"/>
      <c r="I42"/>
      <c r="J42"/>
      <c r="K42"/>
      <c r="L42"/>
      <c r="M42"/>
      <c r="N42"/>
      <c r="O42"/>
      <c r="P42"/>
      <c r="Q42"/>
      <c r="R42"/>
      <c r="S42"/>
      <c r="T42"/>
      <c r="U42"/>
      <c r="V42"/>
      <c r="W42"/>
      <c r="X42"/>
      <c r="Y42"/>
      <c r="Z42"/>
    </row>
    <row r="44" spans="1:26" s="1124" customFormat="1" ht="12.75" customHeight="1">
      <c r="A44" s="2244" t="s">
        <v>960</v>
      </c>
      <c r="B44" s="2244"/>
      <c r="C44" s="2244"/>
      <c r="D44" s="2244"/>
      <c r="E44" s="2244"/>
      <c r="F44" s="2244"/>
      <c r="G44" s="2244"/>
      <c r="H44" s="2244"/>
      <c r="I44"/>
      <c r="J44"/>
      <c r="K44"/>
      <c r="L44"/>
      <c r="M44"/>
      <c r="N44"/>
      <c r="O44"/>
      <c r="P44"/>
      <c r="Q44"/>
      <c r="R44"/>
      <c r="S44"/>
      <c r="T44"/>
      <c r="U44"/>
      <c r="V44"/>
      <c r="W44"/>
      <c r="X44"/>
      <c r="Y44"/>
      <c r="Z44"/>
    </row>
    <row r="45" spans="1:26" s="1124" customFormat="1" ht="12.75" customHeight="1">
      <c r="A45" s="2306" t="s">
        <v>195</v>
      </c>
      <c r="B45" s="2306"/>
      <c r="C45" s="2306"/>
      <c r="D45" s="2306"/>
      <c r="E45" s="2306"/>
      <c r="F45" s="2306"/>
      <c r="G45" s="2306"/>
      <c r="H45" s="2306"/>
      <c r="I45"/>
      <c r="J45"/>
      <c r="K45"/>
      <c r="L45"/>
      <c r="M45"/>
      <c r="N45"/>
      <c r="O45"/>
      <c r="P45"/>
      <c r="Q45"/>
      <c r="R45"/>
      <c r="S45"/>
      <c r="T45"/>
      <c r="U45"/>
      <c r="V45"/>
      <c r="W45"/>
      <c r="X45"/>
      <c r="Y45"/>
      <c r="Z45"/>
    </row>
    <row r="46" spans="1:26" s="1095" customFormat="1" ht="12.75" customHeight="1">
      <c r="A46" s="2258" t="s">
        <v>652</v>
      </c>
      <c r="B46" s="2259"/>
      <c r="C46" s="2259"/>
      <c r="D46" s="2259"/>
      <c r="E46" s="2259"/>
      <c r="F46" s="2259"/>
      <c r="G46" s="2259"/>
      <c r="H46" s="2259"/>
      <c r="I46"/>
      <c r="J46"/>
      <c r="K46"/>
      <c r="L46"/>
      <c r="M46"/>
      <c r="N46"/>
      <c r="O46"/>
      <c r="P46"/>
      <c r="Q46"/>
      <c r="R46"/>
      <c r="S46"/>
      <c r="T46"/>
      <c r="U46"/>
      <c r="V46"/>
      <c r="W46"/>
      <c r="X46"/>
      <c r="Y46"/>
      <c r="Z46"/>
    </row>
    <row r="47" spans="1:26" s="1095" customFormat="1" ht="12.75" customHeight="1">
      <c r="A47" s="2258" t="s">
        <v>653</v>
      </c>
      <c r="B47" s="2259"/>
      <c r="C47" s="2259"/>
      <c r="D47" s="2259"/>
      <c r="E47" s="2259"/>
      <c r="F47" s="2259"/>
      <c r="G47" s="2259"/>
      <c r="H47" s="2259"/>
      <c r="I47"/>
      <c r="J47"/>
      <c r="K47"/>
      <c r="L47"/>
      <c r="M47"/>
      <c r="N47"/>
      <c r="O47"/>
      <c r="P47"/>
      <c r="Q47"/>
      <c r="R47"/>
      <c r="S47"/>
      <c r="T47"/>
      <c r="U47"/>
      <c r="V47"/>
      <c r="W47"/>
      <c r="X47"/>
      <c r="Y47"/>
      <c r="Z47"/>
    </row>
    <row r="48" spans="1:26" s="1095" customFormat="1" ht="12.75" customHeight="1">
      <c r="A48" s="2258" t="s">
        <v>654</v>
      </c>
      <c r="B48" s="2259"/>
      <c r="C48" s="2259"/>
      <c r="D48" s="2259"/>
      <c r="E48" s="2259"/>
      <c r="F48" s="2259"/>
      <c r="G48" s="2259"/>
      <c r="H48" s="2259"/>
      <c r="I48"/>
      <c r="J48"/>
      <c r="K48"/>
      <c r="L48"/>
      <c r="M48"/>
      <c r="N48"/>
      <c r="O48"/>
      <c r="P48"/>
      <c r="Q48"/>
      <c r="R48"/>
      <c r="S48"/>
      <c r="T48"/>
      <c r="U48"/>
      <c r="V48"/>
      <c r="W48"/>
      <c r="X48"/>
      <c r="Y48"/>
      <c r="Z48"/>
    </row>
    <row r="49" spans="1:26" s="1095" customFormat="1" ht="25.5" customHeight="1">
      <c r="A49" s="2258" t="s">
        <v>655</v>
      </c>
      <c r="B49" s="2259"/>
      <c r="C49" s="2259"/>
      <c r="D49" s="2259"/>
      <c r="E49" s="2259"/>
      <c r="F49" s="2259"/>
      <c r="G49" s="2259"/>
      <c r="H49" s="2259"/>
      <c r="I49"/>
      <c r="J49"/>
      <c r="K49"/>
      <c r="L49"/>
      <c r="M49"/>
      <c r="N49"/>
      <c r="O49"/>
      <c r="P49"/>
      <c r="Q49"/>
      <c r="R49"/>
      <c r="S49"/>
      <c r="T49"/>
      <c r="U49"/>
      <c r="V49"/>
      <c r="W49"/>
      <c r="X49"/>
      <c r="Y49"/>
      <c r="Z49"/>
    </row>
    <row r="51" spans="1:26" s="1095" customFormat="1" ht="12.75" customHeight="1">
      <c r="A51" s="2673" t="s">
        <v>196</v>
      </c>
      <c r="B51" s="2673"/>
      <c r="C51" s="2673"/>
      <c r="D51" s="2673"/>
      <c r="E51" s="2673"/>
      <c r="F51" s="2673"/>
      <c r="G51" s="2673"/>
      <c r="H51" s="2673"/>
      <c r="I51"/>
      <c r="J51"/>
      <c r="K51"/>
      <c r="L51"/>
      <c r="M51"/>
      <c r="N51"/>
      <c r="O51"/>
      <c r="P51"/>
      <c r="Q51"/>
      <c r="R51"/>
      <c r="S51"/>
      <c r="T51"/>
      <c r="U51"/>
      <c r="V51"/>
      <c r="W51"/>
      <c r="X51"/>
      <c r="Y51"/>
      <c r="Z51"/>
    </row>
    <row r="53" spans="1:26" s="1095" customFormat="1" ht="25.5" customHeight="1">
      <c r="A53" s="2674" t="s">
        <v>1883</v>
      </c>
      <c r="B53" s="2674"/>
      <c r="C53" s="2674"/>
      <c r="D53" s="2674"/>
      <c r="E53" s="2674"/>
      <c r="F53" s="2674"/>
      <c r="G53" s="2674"/>
      <c r="H53" s="2674"/>
      <c r="I53"/>
      <c r="J53"/>
      <c r="K53"/>
      <c r="L53"/>
      <c r="M53"/>
      <c r="N53"/>
      <c r="O53"/>
      <c r="P53"/>
      <c r="Q53"/>
      <c r="R53"/>
      <c r="S53"/>
      <c r="T53"/>
      <c r="U53"/>
      <c r="V53"/>
      <c r="W53"/>
      <c r="X53"/>
      <c r="Y53"/>
      <c r="Z53"/>
    </row>
    <row r="56" spans="1:26" s="1096" customFormat="1" ht="12.75" customHeight="1">
      <c r="A56" s="2672" t="s">
        <v>1531</v>
      </c>
      <c r="B56" s="2672"/>
      <c r="C56" s="2672"/>
      <c r="D56" s="2672"/>
      <c r="E56" s="2672"/>
      <c r="F56" s="2672"/>
      <c r="G56" s="2672"/>
      <c r="H56" s="2672"/>
      <c r="I56"/>
      <c r="J56"/>
      <c r="K56"/>
      <c r="L56"/>
      <c r="M56"/>
      <c r="N56"/>
      <c r="O56"/>
      <c r="P56"/>
      <c r="Q56"/>
      <c r="R56"/>
      <c r="S56"/>
      <c r="T56"/>
      <c r="U56"/>
      <c r="V56"/>
      <c r="W56"/>
      <c r="X56"/>
      <c r="Y56"/>
      <c r="Z56"/>
    </row>
    <row r="57" spans="1:26" s="1096" customFormat="1" ht="12.75" customHeight="1">
      <c r="A57" s="2242" t="s">
        <v>1884</v>
      </c>
      <c r="B57" s="2242"/>
      <c r="C57" s="2242"/>
      <c r="D57" s="2242"/>
      <c r="E57" s="2242"/>
      <c r="F57" s="2242"/>
      <c r="G57" s="2242"/>
      <c r="H57" s="2242"/>
      <c r="I57"/>
      <c r="J57"/>
      <c r="K57"/>
      <c r="L57"/>
      <c r="M57"/>
      <c r="N57"/>
      <c r="O57"/>
      <c r="P57"/>
      <c r="Q57"/>
      <c r="R57"/>
      <c r="S57"/>
      <c r="T57"/>
      <c r="U57"/>
      <c r="V57"/>
      <c r="W57"/>
      <c r="X57"/>
      <c r="Y57"/>
      <c r="Z57"/>
    </row>
    <row r="58" spans="1:26" s="1096" customFormat="1" ht="12.75" customHeight="1">
      <c r="A58" s="2244" t="s">
        <v>1536</v>
      </c>
      <c r="B58" s="2244"/>
      <c r="C58" s="2244"/>
      <c r="D58" s="2244"/>
      <c r="E58" s="2244"/>
      <c r="F58" s="2244"/>
      <c r="G58" s="2244"/>
      <c r="H58" s="2244"/>
      <c r="I58"/>
      <c r="J58"/>
      <c r="K58"/>
      <c r="L58"/>
      <c r="M58"/>
      <c r="N58"/>
      <c r="O58"/>
      <c r="P58"/>
      <c r="Q58"/>
      <c r="R58"/>
      <c r="S58"/>
      <c r="T58"/>
      <c r="U58"/>
      <c r="V58"/>
      <c r="W58"/>
      <c r="X58"/>
      <c r="Y58"/>
      <c r="Z58"/>
    </row>
    <row r="59" spans="1:26" s="1095" customFormat="1" ht="25.5" customHeight="1">
      <c r="A59" s="2567" t="s">
        <v>2528</v>
      </c>
      <c r="B59" s="2244"/>
      <c r="C59" s="2244"/>
      <c r="D59" s="2244"/>
      <c r="E59" s="2244"/>
      <c r="F59" s="2244"/>
      <c r="G59" s="2244"/>
      <c r="H59" s="2244"/>
      <c r="I59"/>
      <c r="J59"/>
      <c r="K59"/>
      <c r="L59"/>
      <c r="M59"/>
      <c r="N59"/>
      <c r="O59"/>
      <c r="P59"/>
      <c r="Q59"/>
      <c r="R59"/>
      <c r="S59"/>
      <c r="T59"/>
      <c r="U59"/>
      <c r="V59"/>
      <c r="W59"/>
      <c r="X59"/>
      <c r="Y59"/>
      <c r="Z59"/>
    </row>
    <row r="61" spans="1:26" s="1095" customFormat="1" ht="12.75" customHeight="1">
      <c r="A61" s="1125" t="s">
        <v>656</v>
      </c>
      <c r="B61" s="1092"/>
      <c r="C61" s="1092"/>
      <c r="D61" s="1092"/>
      <c r="E61" s="1092"/>
      <c r="F61" s="1092"/>
      <c r="G61" s="1092"/>
      <c r="H61" s="1092"/>
      <c r="I61"/>
      <c r="J61"/>
      <c r="K61"/>
      <c r="L61"/>
      <c r="M61"/>
      <c r="N61"/>
      <c r="O61"/>
      <c r="P61"/>
      <c r="Q61"/>
      <c r="R61"/>
      <c r="S61"/>
      <c r="T61"/>
      <c r="U61"/>
      <c r="V61"/>
      <c r="W61"/>
      <c r="X61"/>
      <c r="Y61"/>
      <c r="Z61"/>
    </row>
    <row r="62" spans="1:26" s="1095" customFormat="1" ht="38.25" customHeight="1">
      <c r="A62" s="2671" t="s">
        <v>2301</v>
      </c>
      <c r="B62" s="2671"/>
      <c r="C62" s="2671"/>
      <c r="D62" s="2671"/>
      <c r="E62" s="2671"/>
      <c r="F62" s="2671"/>
      <c r="G62" s="2671"/>
      <c r="H62" s="2671"/>
      <c r="I62"/>
      <c r="J62"/>
      <c r="K62"/>
      <c r="L62"/>
      <c r="M62"/>
      <c r="N62"/>
      <c r="O62"/>
      <c r="P62"/>
      <c r="Q62"/>
      <c r="R62"/>
      <c r="S62"/>
      <c r="T62"/>
      <c r="U62"/>
      <c r="V62"/>
      <c r="W62"/>
      <c r="X62"/>
      <c r="Y62"/>
      <c r="Z62"/>
    </row>
    <row r="63" spans="1:26" s="1096" customFormat="1" ht="25.5" customHeight="1">
      <c r="A63" s="2671" t="s">
        <v>2302</v>
      </c>
      <c r="B63" s="2671"/>
      <c r="C63" s="2671"/>
      <c r="D63" s="2671"/>
      <c r="E63" s="2671"/>
      <c r="F63" s="2671"/>
      <c r="G63" s="2671"/>
      <c r="H63" s="2671"/>
      <c r="I63"/>
      <c r="J63"/>
      <c r="K63"/>
      <c r="L63"/>
      <c r="M63"/>
      <c r="N63"/>
      <c r="O63"/>
      <c r="P63"/>
      <c r="Q63"/>
      <c r="R63"/>
      <c r="S63"/>
      <c r="T63"/>
      <c r="U63"/>
      <c r="V63"/>
      <c r="W63"/>
      <c r="X63"/>
      <c r="Y63"/>
      <c r="Z63"/>
    </row>
    <row r="65" spans="1:26" s="1096" customFormat="1" ht="12.75" customHeight="1">
      <c r="A65" s="2242" t="s">
        <v>1885</v>
      </c>
      <c r="B65" s="2242"/>
      <c r="C65" s="2242"/>
      <c r="D65" s="2242"/>
      <c r="E65" s="2242"/>
      <c r="F65" s="2242"/>
      <c r="G65" s="2242"/>
      <c r="H65" s="2242"/>
      <c r="I65"/>
      <c r="J65"/>
      <c r="K65"/>
      <c r="L65"/>
      <c r="M65"/>
      <c r="N65"/>
      <c r="O65"/>
      <c r="P65"/>
      <c r="Q65"/>
      <c r="R65"/>
      <c r="S65"/>
      <c r="T65"/>
      <c r="U65"/>
      <c r="V65"/>
      <c r="W65"/>
      <c r="X65"/>
      <c r="Y65"/>
      <c r="Z65"/>
    </row>
    <row r="67" spans="1:26" s="1095" customFormat="1" ht="12.75" customHeight="1">
      <c r="A67" s="1123" t="s">
        <v>566</v>
      </c>
      <c r="B67" s="1111" t="s">
        <v>924</v>
      </c>
      <c r="C67" s="1111" t="s">
        <v>2013</v>
      </c>
      <c r="D67" s="1111"/>
      <c r="E67" s="1111"/>
      <c r="F67" s="1111"/>
      <c r="G67" s="1096"/>
      <c r="H67" s="1096"/>
      <c r="I67"/>
      <c r="J67"/>
      <c r="K67"/>
      <c r="L67"/>
      <c r="M67"/>
      <c r="N67"/>
      <c r="O67"/>
      <c r="P67"/>
      <c r="Q67"/>
      <c r="R67"/>
      <c r="S67"/>
      <c r="T67"/>
      <c r="U67"/>
      <c r="V67"/>
      <c r="W67"/>
      <c r="X67"/>
      <c r="Y67"/>
      <c r="Z67"/>
    </row>
    <row r="68" spans="1:26" s="1095" customFormat="1" ht="24" customHeight="1">
      <c r="A68" s="1123"/>
      <c r="B68" s="1096"/>
      <c r="C68" s="2242" t="s">
        <v>2529</v>
      </c>
      <c r="D68" s="2242"/>
      <c r="E68" s="2242"/>
      <c r="F68" s="2242"/>
      <c r="G68" s="2242"/>
      <c r="H68" s="2242"/>
      <c r="I68"/>
      <c r="J68"/>
      <c r="K68"/>
      <c r="L68"/>
      <c r="M68"/>
      <c r="N68"/>
      <c r="O68"/>
      <c r="P68"/>
      <c r="Q68"/>
      <c r="R68"/>
      <c r="S68"/>
      <c r="T68"/>
      <c r="U68"/>
      <c r="V68"/>
      <c r="W68"/>
      <c r="X68"/>
      <c r="Y68"/>
      <c r="Z68"/>
    </row>
    <row r="70" spans="1:26" s="1095" customFormat="1" ht="12.75" customHeight="1">
      <c r="A70" s="1123" t="s">
        <v>566</v>
      </c>
      <c r="B70" s="1111" t="s">
        <v>925</v>
      </c>
      <c r="C70" s="1111" t="s">
        <v>926</v>
      </c>
      <c r="D70" s="1111"/>
      <c r="E70" s="1111"/>
      <c r="F70" s="1111"/>
      <c r="G70" s="1096"/>
      <c r="H70" s="1096"/>
      <c r="I70"/>
      <c r="J70"/>
      <c r="K70"/>
      <c r="L70"/>
      <c r="M70"/>
      <c r="N70"/>
      <c r="O70"/>
      <c r="P70"/>
      <c r="Q70"/>
      <c r="R70"/>
      <c r="S70"/>
      <c r="T70"/>
      <c r="U70"/>
      <c r="V70"/>
      <c r="W70"/>
      <c r="X70"/>
      <c r="Y70"/>
      <c r="Z70"/>
    </row>
    <row r="71" spans="1:26" s="1095" customFormat="1" ht="76.5" customHeight="1">
      <c r="A71" s="1123"/>
      <c r="B71" s="1096"/>
      <c r="C71" s="2242" t="s">
        <v>2530</v>
      </c>
      <c r="D71" s="2242"/>
      <c r="E71" s="2242"/>
      <c r="F71" s="2242"/>
      <c r="G71" s="2242"/>
      <c r="H71" s="2242"/>
      <c r="I71"/>
      <c r="J71"/>
      <c r="K71"/>
      <c r="L71"/>
      <c r="M71"/>
      <c r="N71"/>
      <c r="O71"/>
      <c r="P71"/>
      <c r="Q71"/>
      <c r="R71"/>
      <c r="S71"/>
      <c r="T71"/>
      <c r="U71"/>
      <c r="V71"/>
      <c r="W71"/>
      <c r="X71"/>
      <c r="Y71"/>
      <c r="Z71"/>
    </row>
    <row r="73" spans="1:26" s="1095" customFormat="1" ht="12.75" customHeight="1">
      <c r="A73" s="1123" t="s">
        <v>566</v>
      </c>
      <c r="B73" s="1111" t="s">
        <v>927</v>
      </c>
      <c r="C73" s="1111" t="s">
        <v>640</v>
      </c>
      <c r="D73" s="1111"/>
      <c r="E73" s="1111"/>
      <c r="F73" s="1111"/>
      <c r="G73" s="1096"/>
      <c r="H73" s="1096"/>
      <c r="I73"/>
      <c r="J73"/>
      <c r="K73"/>
      <c r="L73"/>
      <c r="M73"/>
      <c r="N73"/>
      <c r="O73"/>
      <c r="P73"/>
      <c r="Q73"/>
      <c r="R73"/>
      <c r="S73"/>
      <c r="T73"/>
      <c r="U73"/>
      <c r="V73"/>
      <c r="W73"/>
      <c r="X73"/>
      <c r="Y73"/>
      <c r="Z73"/>
    </row>
    <row r="74" spans="1:26" s="1095" customFormat="1" ht="38.25" customHeight="1">
      <c r="A74" s="1123"/>
      <c r="B74" s="1096"/>
      <c r="C74" s="2242" t="s">
        <v>2417</v>
      </c>
      <c r="D74" s="2242"/>
      <c r="E74" s="2242"/>
      <c r="F74" s="2242"/>
      <c r="G74" s="2242"/>
      <c r="H74" s="2242"/>
      <c r="I74"/>
      <c r="J74"/>
      <c r="K74"/>
      <c r="L74"/>
      <c r="M74"/>
      <c r="N74"/>
      <c r="O74"/>
      <c r="P74"/>
      <c r="Q74"/>
      <c r="R74"/>
      <c r="S74"/>
      <c r="T74"/>
      <c r="U74"/>
      <c r="V74"/>
      <c r="W74"/>
      <c r="X74"/>
      <c r="Y74"/>
      <c r="Z74"/>
    </row>
    <row r="75" spans="1:26" s="1095" customFormat="1" ht="12.75" customHeight="1">
      <c r="A75" s="1123"/>
      <c r="B75" s="1096"/>
      <c r="C75" s="1096" t="s">
        <v>753</v>
      </c>
      <c r="D75" s="1096"/>
      <c r="E75" s="1096"/>
      <c r="F75" s="1096"/>
      <c r="G75" s="1096"/>
      <c r="H75" s="1096"/>
      <c r="I75"/>
      <c r="J75"/>
      <c r="K75"/>
      <c r="L75"/>
      <c r="M75"/>
      <c r="N75"/>
      <c r="O75"/>
      <c r="P75"/>
      <c r="Q75"/>
      <c r="R75"/>
      <c r="S75"/>
      <c r="T75"/>
      <c r="U75"/>
      <c r="V75"/>
      <c r="W75"/>
      <c r="X75"/>
      <c r="Y75"/>
      <c r="Z75"/>
    </row>
    <row r="76" spans="1:26" s="1095" customFormat="1" ht="12.75" customHeight="1">
      <c r="A76" s="1123"/>
      <c r="B76" s="1096"/>
      <c r="C76" s="1127" t="s">
        <v>292</v>
      </c>
      <c r="D76" s="1096"/>
      <c r="E76" s="1096"/>
      <c r="F76" s="1096"/>
      <c r="G76" s="1096"/>
      <c r="H76" s="1096"/>
      <c r="I76"/>
      <c r="J76"/>
      <c r="K76"/>
      <c r="L76"/>
      <c r="M76"/>
      <c r="N76"/>
      <c r="O76"/>
      <c r="P76"/>
      <c r="Q76"/>
      <c r="R76"/>
      <c r="S76"/>
      <c r="T76"/>
      <c r="U76"/>
      <c r="V76"/>
      <c r="W76"/>
      <c r="X76"/>
      <c r="Y76"/>
      <c r="Z76"/>
    </row>
    <row r="77" spans="1:26" s="1095" customFormat="1" ht="12.75" customHeight="1">
      <c r="A77" s="1123"/>
      <c r="B77" s="1096"/>
      <c r="C77" s="1127" t="s">
        <v>641</v>
      </c>
      <c r="D77" s="1096"/>
      <c r="E77" s="1096"/>
      <c r="F77" s="1096"/>
      <c r="G77" s="1096"/>
      <c r="H77" s="1096"/>
      <c r="I77"/>
      <c r="J77"/>
      <c r="K77"/>
      <c r="L77"/>
      <c r="M77"/>
      <c r="N77"/>
      <c r="O77"/>
      <c r="P77"/>
      <c r="Q77"/>
      <c r="R77"/>
      <c r="S77"/>
      <c r="T77"/>
      <c r="U77"/>
      <c r="V77"/>
      <c r="W77"/>
      <c r="X77"/>
      <c r="Y77"/>
      <c r="Z77"/>
    </row>
    <row r="78" spans="1:26" s="1095" customFormat="1" ht="12.75" customHeight="1">
      <c r="A78" s="1123"/>
      <c r="B78" s="1096"/>
      <c r="C78" s="1127" t="s">
        <v>642</v>
      </c>
      <c r="D78" s="1096"/>
      <c r="E78" s="1096"/>
      <c r="F78" s="1096"/>
      <c r="G78" s="1096"/>
      <c r="H78" s="1096"/>
      <c r="I78"/>
      <c r="J78"/>
      <c r="K78"/>
      <c r="L78"/>
      <c r="M78"/>
      <c r="N78"/>
      <c r="O78"/>
      <c r="P78"/>
      <c r="Q78"/>
      <c r="R78"/>
      <c r="S78"/>
      <c r="T78"/>
      <c r="U78"/>
      <c r="V78"/>
      <c r="W78"/>
      <c r="X78"/>
      <c r="Y78"/>
      <c r="Z78"/>
    </row>
    <row r="79" spans="1:26" s="1096" customFormat="1" ht="12.75" customHeight="1">
      <c r="A79" s="1123"/>
      <c r="C79" s="1128" t="s">
        <v>1886</v>
      </c>
      <c r="I79"/>
      <c r="J79"/>
      <c r="K79"/>
      <c r="L79"/>
      <c r="M79"/>
      <c r="N79"/>
      <c r="O79"/>
      <c r="P79"/>
      <c r="Q79"/>
      <c r="R79"/>
      <c r="S79"/>
      <c r="T79"/>
      <c r="U79"/>
      <c r="V79"/>
      <c r="W79"/>
      <c r="X79"/>
      <c r="Y79"/>
      <c r="Z79"/>
    </row>
    <row r="82" spans="1:256" s="1096" customFormat="1" ht="12.75" customHeight="1">
      <c r="A82" s="2666" t="s">
        <v>1532</v>
      </c>
      <c r="B82" s="2666"/>
      <c r="I82"/>
      <c r="J82"/>
      <c r="K82"/>
      <c r="L82"/>
      <c r="M82"/>
      <c r="N82"/>
      <c r="O82"/>
      <c r="P82"/>
      <c r="Q82"/>
      <c r="R82"/>
      <c r="S82"/>
      <c r="T82"/>
      <c r="U82"/>
      <c r="V82"/>
      <c r="W82"/>
      <c r="X82"/>
      <c r="Y82"/>
      <c r="Z82"/>
    </row>
    <row r="83" spans="1:256" s="1096" customFormat="1" ht="12.75" customHeight="1">
      <c r="A83" s="2242" t="s">
        <v>1887</v>
      </c>
      <c r="B83" s="2242"/>
      <c r="C83" s="2242"/>
      <c r="D83" s="2242"/>
      <c r="E83" s="2242"/>
      <c r="F83" s="2242"/>
      <c r="G83" s="2242"/>
      <c r="H83" s="2242"/>
      <c r="I83"/>
      <c r="J83"/>
      <c r="K83"/>
      <c r="L83"/>
      <c r="M83"/>
      <c r="N83"/>
      <c r="O83"/>
      <c r="P83"/>
      <c r="Q83"/>
      <c r="R83"/>
      <c r="S83"/>
      <c r="T83"/>
      <c r="U83"/>
      <c r="V83"/>
      <c r="W83"/>
      <c r="X83"/>
      <c r="Y83"/>
      <c r="Z83"/>
    </row>
    <row r="84" spans="1:256" s="1096" customFormat="1" ht="12.75" customHeight="1">
      <c r="A84" s="2242" t="s">
        <v>1533</v>
      </c>
      <c r="B84" s="2242"/>
      <c r="C84" s="2242"/>
      <c r="D84" s="2242"/>
      <c r="E84" s="2242"/>
      <c r="F84" s="2242"/>
      <c r="G84" s="2242"/>
      <c r="H84" s="2242"/>
      <c r="I84"/>
      <c r="J84"/>
      <c r="K84"/>
      <c r="L84"/>
      <c r="M84"/>
      <c r="N84"/>
      <c r="O84"/>
      <c r="P84"/>
      <c r="Q84"/>
      <c r="R84"/>
      <c r="S84"/>
      <c r="T84"/>
      <c r="U84"/>
      <c r="V84"/>
      <c r="W84"/>
      <c r="X84"/>
      <c r="Y84"/>
      <c r="Z84"/>
    </row>
    <row r="85" spans="1:256" s="1096" customFormat="1" ht="12.75" customHeight="1">
      <c r="A85" s="2264" t="s">
        <v>2531</v>
      </c>
      <c r="B85" s="2259"/>
      <c r="C85" s="2259"/>
      <c r="D85" s="2259"/>
      <c r="E85" s="2259"/>
      <c r="F85" s="2259"/>
      <c r="G85" s="2259"/>
      <c r="H85" s="2259"/>
      <c r="I85"/>
      <c r="J85"/>
      <c r="K85"/>
      <c r="L85"/>
      <c r="M85"/>
      <c r="N85"/>
      <c r="O85"/>
      <c r="P85"/>
      <c r="Q85"/>
      <c r="R85"/>
      <c r="S85"/>
      <c r="T85"/>
      <c r="U85"/>
      <c r="V85"/>
      <c r="W85"/>
      <c r="X85"/>
      <c r="Y85"/>
      <c r="Z85"/>
    </row>
    <row r="86" spans="1:256" s="1096" customFormat="1" ht="12.75" customHeight="1">
      <c r="A86" s="2264" t="s">
        <v>2372</v>
      </c>
      <c r="B86" s="2259"/>
      <c r="C86" s="2259"/>
      <c r="D86" s="2259"/>
      <c r="E86" s="2259"/>
      <c r="F86" s="2259"/>
      <c r="G86" s="2259"/>
      <c r="H86" s="2259"/>
      <c r="I86"/>
      <c r="J86"/>
      <c r="K86"/>
      <c r="L86"/>
      <c r="M86"/>
      <c r="N86"/>
      <c r="O86"/>
      <c r="P86"/>
      <c r="Q86"/>
      <c r="R86"/>
      <c r="S86"/>
      <c r="T86"/>
      <c r="U86"/>
      <c r="V86"/>
      <c r="W86"/>
      <c r="X86"/>
      <c r="Y86"/>
      <c r="Z86"/>
    </row>
    <row r="88" spans="1:256" s="1095" customFormat="1" ht="25.5" customHeight="1">
      <c r="A88" s="2670" t="s">
        <v>2532</v>
      </c>
      <c r="B88" s="2670"/>
      <c r="C88" s="2670"/>
      <c r="D88" s="2670"/>
      <c r="E88" s="2670"/>
      <c r="F88" s="2670"/>
      <c r="G88" s="2670"/>
      <c r="H88" s="2670"/>
      <c r="I88"/>
      <c r="J88"/>
      <c r="K88"/>
      <c r="L88"/>
      <c r="M88"/>
      <c r="N88"/>
      <c r="O88"/>
      <c r="P88"/>
      <c r="Q88"/>
      <c r="R88"/>
      <c r="S88"/>
      <c r="T88"/>
      <c r="U88"/>
      <c r="V88"/>
      <c r="W88"/>
      <c r="X88"/>
      <c r="Y88"/>
      <c r="Z88"/>
    </row>
    <row r="90" spans="1:256" s="1096" customFormat="1" ht="12.75" customHeight="1">
      <c r="A90" s="2244" t="s">
        <v>0</v>
      </c>
      <c r="B90" s="2244"/>
      <c r="C90" s="2244"/>
      <c r="D90" s="2244"/>
      <c r="E90" s="2244"/>
      <c r="F90" s="2244"/>
      <c r="G90" s="2244"/>
      <c r="H90" s="2244"/>
      <c r="I90"/>
      <c r="J90"/>
      <c r="K90"/>
      <c r="L90"/>
      <c r="M90"/>
      <c r="N90"/>
      <c r="O90"/>
      <c r="P90"/>
      <c r="Q90"/>
      <c r="R90"/>
      <c r="S90"/>
      <c r="T90"/>
      <c r="U90"/>
      <c r="V90"/>
      <c r="W90"/>
      <c r="X90"/>
      <c r="Y90"/>
      <c r="Z90"/>
    </row>
    <row r="92" spans="1:256" s="1095" customFormat="1" ht="12.75" customHeight="1">
      <c r="A92" s="1125" t="s">
        <v>2303</v>
      </c>
      <c r="B92" s="1129"/>
      <c r="C92" s="1129"/>
      <c r="D92" s="1129"/>
      <c r="E92" s="1129"/>
      <c r="F92" s="1129"/>
      <c r="G92" s="1129"/>
      <c r="H92" s="1092"/>
      <c r="I92"/>
      <c r="J92"/>
      <c r="K92"/>
      <c r="L92"/>
      <c r="M92"/>
      <c r="N92"/>
      <c r="O92"/>
      <c r="P92"/>
      <c r="Q92"/>
      <c r="R92"/>
      <c r="S92"/>
      <c r="T92"/>
      <c r="U92"/>
      <c r="V92"/>
      <c r="W92"/>
      <c r="X92"/>
      <c r="Y92"/>
      <c r="Z92"/>
    </row>
    <row r="93" spans="1:256" s="1095" customFormat="1" ht="63.75" customHeight="1">
      <c r="A93" s="2671" t="s">
        <v>1</v>
      </c>
      <c r="B93" s="2671"/>
      <c r="C93" s="2671"/>
      <c r="D93" s="2671"/>
      <c r="E93" s="2671"/>
      <c r="F93" s="2671"/>
      <c r="G93" s="2671"/>
      <c r="H93" s="2671"/>
      <c r="I93"/>
      <c r="J93"/>
      <c r="K93"/>
      <c r="L93"/>
      <c r="M93"/>
      <c r="N93"/>
      <c r="O93"/>
      <c r="P93"/>
      <c r="Q93"/>
      <c r="R93"/>
      <c r="S93"/>
      <c r="T93"/>
      <c r="U93"/>
      <c r="V93"/>
      <c r="W93"/>
      <c r="X93"/>
      <c r="Y93"/>
      <c r="Z93"/>
    </row>
    <row r="96" spans="1:256" s="1098" customFormat="1" ht="12.75" customHeight="1">
      <c r="A96" s="1130" t="s">
        <v>2</v>
      </c>
      <c r="B96" s="1097"/>
      <c r="C96" s="1097"/>
      <c r="D96" s="1097"/>
      <c r="E96" s="1097"/>
      <c r="F96" s="1097"/>
      <c r="G96" s="1097"/>
      <c r="H96" s="1097"/>
      <c r="I96"/>
      <c r="J96"/>
      <c r="K96"/>
      <c r="L96"/>
      <c r="M96"/>
      <c r="N96"/>
      <c r="O96"/>
      <c r="P96"/>
      <c r="Q96"/>
      <c r="R96"/>
      <c r="S96"/>
      <c r="T96"/>
      <c r="U96"/>
      <c r="V96"/>
      <c r="W96"/>
      <c r="X96"/>
      <c r="Y96"/>
      <c r="Z96"/>
      <c r="AA96" s="1097"/>
      <c r="AB96" s="1097"/>
      <c r="AC96" s="1097"/>
      <c r="AD96" s="1097"/>
      <c r="AE96" s="1097"/>
      <c r="AF96" s="1097"/>
      <c r="AG96" s="1097"/>
      <c r="AH96" s="1097"/>
      <c r="AI96" s="1097"/>
      <c r="AJ96" s="1097"/>
      <c r="AK96" s="1097"/>
      <c r="AL96" s="1097"/>
      <c r="AM96" s="1097"/>
      <c r="AN96" s="1097"/>
      <c r="AO96" s="1097"/>
      <c r="AP96" s="1097"/>
      <c r="AQ96" s="1097"/>
      <c r="AR96" s="1097"/>
      <c r="AS96" s="1097"/>
      <c r="AT96" s="1097"/>
      <c r="AU96" s="1097"/>
      <c r="AV96" s="1097"/>
      <c r="AW96" s="1097"/>
      <c r="AX96" s="1097"/>
      <c r="AY96" s="1097"/>
      <c r="AZ96" s="1097"/>
      <c r="BA96" s="1097"/>
      <c r="BB96" s="1097"/>
      <c r="BC96" s="1097"/>
      <c r="BD96" s="1097"/>
      <c r="BE96" s="1097"/>
      <c r="BF96" s="1097"/>
      <c r="BG96" s="1097"/>
      <c r="BH96" s="1097"/>
      <c r="BI96" s="1097"/>
      <c r="BJ96" s="1097"/>
      <c r="BK96" s="1097"/>
      <c r="BL96" s="1097"/>
      <c r="BM96" s="1097"/>
      <c r="BN96" s="1097"/>
      <c r="BO96" s="1097"/>
      <c r="BP96" s="1097"/>
      <c r="BQ96" s="1097"/>
      <c r="BR96" s="1097"/>
      <c r="BS96" s="1097"/>
      <c r="BT96" s="1097"/>
      <c r="BU96" s="1097"/>
      <c r="BV96" s="1097"/>
      <c r="BW96" s="1097"/>
      <c r="BX96" s="1097"/>
      <c r="BY96" s="1097"/>
      <c r="BZ96" s="1097"/>
      <c r="CA96" s="1097"/>
      <c r="CB96" s="1097"/>
      <c r="CC96" s="1097"/>
      <c r="CD96" s="1097"/>
      <c r="CE96" s="1097"/>
      <c r="CF96" s="1097"/>
      <c r="CG96" s="1097"/>
      <c r="CH96" s="1097"/>
      <c r="CI96" s="1097"/>
      <c r="CJ96" s="1097"/>
      <c r="CK96" s="1097"/>
      <c r="CL96" s="1097"/>
      <c r="CM96" s="1097"/>
      <c r="CN96" s="1097"/>
      <c r="CO96" s="1097"/>
      <c r="CP96" s="1097"/>
      <c r="CQ96" s="1097"/>
      <c r="CR96" s="1097"/>
      <c r="CS96" s="1097"/>
      <c r="CT96" s="1097"/>
      <c r="CU96" s="1097"/>
      <c r="CV96" s="1097"/>
      <c r="CW96" s="1097"/>
      <c r="CX96" s="1097"/>
      <c r="CY96" s="1097"/>
      <c r="CZ96" s="1097"/>
      <c r="DA96" s="1097"/>
      <c r="DB96" s="1097"/>
      <c r="DC96" s="1097"/>
      <c r="DD96" s="1097"/>
      <c r="DE96" s="1097"/>
      <c r="DF96" s="1097"/>
      <c r="DG96" s="1097"/>
      <c r="DH96" s="1097"/>
      <c r="DI96" s="1097"/>
      <c r="DJ96" s="1097"/>
      <c r="DK96" s="1097"/>
      <c r="DL96" s="1097"/>
      <c r="DM96" s="1097"/>
      <c r="DN96" s="1097"/>
      <c r="DO96" s="1097"/>
      <c r="DP96" s="1097"/>
      <c r="DQ96" s="1097"/>
      <c r="DR96" s="1097"/>
      <c r="DS96" s="1097"/>
      <c r="DT96" s="1097"/>
      <c r="DU96" s="1097"/>
      <c r="DV96" s="1097"/>
      <c r="DW96" s="1097"/>
      <c r="DX96" s="1097"/>
      <c r="DY96" s="1097"/>
      <c r="DZ96" s="1097"/>
      <c r="EA96" s="1097"/>
      <c r="EB96" s="1097"/>
      <c r="EC96" s="1097"/>
      <c r="ED96" s="1097"/>
      <c r="EE96" s="1097"/>
      <c r="EF96" s="1097"/>
      <c r="EG96" s="1097"/>
      <c r="EH96" s="1097"/>
      <c r="EI96" s="1097"/>
      <c r="EJ96" s="1097"/>
      <c r="EK96" s="1097"/>
      <c r="EL96" s="1097"/>
      <c r="EM96" s="1097"/>
      <c r="EN96" s="1097"/>
      <c r="EO96" s="1097"/>
      <c r="EP96" s="1097"/>
      <c r="EQ96" s="1097"/>
      <c r="ER96" s="1097"/>
      <c r="ES96" s="1097"/>
      <c r="ET96" s="1097"/>
      <c r="EU96" s="1097"/>
      <c r="EV96" s="1097"/>
      <c r="EW96" s="1097"/>
      <c r="EX96" s="1097"/>
      <c r="EY96" s="1097"/>
      <c r="EZ96" s="1097"/>
      <c r="FA96" s="1097"/>
      <c r="FB96" s="1097"/>
      <c r="FC96" s="1097"/>
      <c r="FD96" s="1097"/>
      <c r="FE96" s="1097"/>
      <c r="FF96" s="1097"/>
      <c r="FG96" s="1097"/>
      <c r="FH96" s="1097"/>
      <c r="FI96" s="1097"/>
      <c r="FJ96" s="1097"/>
      <c r="FK96" s="1097"/>
      <c r="FL96" s="1097"/>
      <c r="FM96" s="1097"/>
      <c r="FN96" s="1097"/>
      <c r="FO96" s="1097"/>
      <c r="FP96" s="1097"/>
      <c r="FQ96" s="1097"/>
      <c r="FR96" s="1097"/>
      <c r="FS96" s="1097"/>
      <c r="FT96" s="1097"/>
      <c r="FU96" s="1097"/>
      <c r="FV96" s="1097"/>
      <c r="FW96" s="1097"/>
      <c r="FX96" s="1097"/>
      <c r="FY96" s="1097"/>
      <c r="FZ96" s="1097"/>
      <c r="GA96" s="1097"/>
      <c r="GB96" s="1097"/>
      <c r="GC96" s="1097"/>
      <c r="GD96" s="1097"/>
      <c r="GE96" s="1097"/>
      <c r="GF96" s="1097"/>
      <c r="GG96" s="1097"/>
      <c r="GH96" s="1097"/>
      <c r="GI96" s="1097"/>
      <c r="GJ96" s="1097"/>
      <c r="GK96" s="1097"/>
      <c r="GL96" s="1097"/>
      <c r="GM96" s="1097"/>
      <c r="GN96" s="1097"/>
      <c r="GO96" s="1097"/>
      <c r="GP96" s="1097"/>
      <c r="GQ96" s="1097"/>
      <c r="GR96" s="1097"/>
      <c r="GS96" s="1097"/>
      <c r="GT96" s="1097"/>
      <c r="GU96" s="1097"/>
      <c r="GV96" s="1097"/>
      <c r="GW96" s="1097"/>
      <c r="GX96" s="1097"/>
      <c r="GY96" s="1097"/>
      <c r="GZ96" s="1097"/>
      <c r="HA96" s="1097"/>
      <c r="HB96" s="1097"/>
      <c r="HC96" s="1097"/>
      <c r="HD96" s="1097"/>
      <c r="HE96" s="1097"/>
      <c r="HF96" s="1097"/>
      <c r="HG96" s="1097"/>
      <c r="HH96" s="1097"/>
      <c r="HI96" s="1097"/>
      <c r="HJ96" s="1097"/>
      <c r="HK96" s="1097"/>
      <c r="HL96" s="1097"/>
      <c r="HM96" s="1097"/>
      <c r="HN96" s="1097"/>
      <c r="HO96" s="1097"/>
      <c r="HP96" s="1097"/>
      <c r="HQ96" s="1097"/>
      <c r="HR96" s="1097"/>
      <c r="HS96" s="1097"/>
      <c r="HT96" s="1097"/>
      <c r="HU96" s="1097"/>
      <c r="HV96" s="1097"/>
      <c r="HW96" s="1097"/>
      <c r="HX96" s="1097"/>
      <c r="HY96" s="1097"/>
      <c r="HZ96" s="1097"/>
      <c r="IA96" s="1097"/>
      <c r="IB96" s="1097"/>
      <c r="IC96" s="1097"/>
      <c r="ID96" s="1097"/>
      <c r="IE96" s="1097"/>
      <c r="IF96" s="1097"/>
      <c r="IG96" s="1097"/>
      <c r="IH96" s="1097"/>
      <c r="II96" s="1097"/>
      <c r="IJ96" s="1097"/>
      <c r="IK96" s="1097"/>
      <c r="IL96" s="1097"/>
      <c r="IM96" s="1097"/>
      <c r="IN96" s="1097"/>
      <c r="IO96" s="1097"/>
      <c r="IP96" s="1097"/>
      <c r="IQ96" s="1097"/>
      <c r="IR96" s="1097"/>
      <c r="IS96" s="1097"/>
      <c r="IT96" s="1097"/>
      <c r="IU96" s="1097"/>
      <c r="IV96" s="1097"/>
    </row>
    <row r="97" spans="1:256" s="1095" customFormat="1" ht="12.75" customHeight="1">
      <c r="A97" s="2667" t="s">
        <v>3</v>
      </c>
      <c r="B97" s="2242"/>
      <c r="C97" s="2242"/>
      <c r="D97" s="2242"/>
      <c r="E97" s="2242"/>
      <c r="F97" s="2242"/>
      <c r="G97" s="2242"/>
      <c r="H97" s="2242"/>
      <c r="I97"/>
      <c r="J97"/>
      <c r="K97"/>
      <c r="L97"/>
      <c r="M97"/>
      <c r="N97"/>
      <c r="O97"/>
      <c r="P97"/>
      <c r="Q97"/>
      <c r="R97"/>
      <c r="S97"/>
      <c r="T97"/>
      <c r="U97"/>
      <c r="V97"/>
      <c r="W97"/>
      <c r="X97"/>
      <c r="Y97"/>
      <c r="Z97"/>
    </row>
    <row r="99" spans="1:256" s="1095" customFormat="1" ht="12.75" customHeight="1">
      <c r="A99" s="1125" t="s">
        <v>2303</v>
      </c>
      <c r="B99" s="1126"/>
      <c r="C99" s="1126"/>
      <c r="D99" s="1126"/>
      <c r="E99" s="1126"/>
      <c r="F99" s="1126"/>
      <c r="G99" s="1126"/>
      <c r="H99" s="1126"/>
      <c r="I99"/>
      <c r="J99"/>
      <c r="K99"/>
      <c r="L99"/>
      <c r="M99"/>
      <c r="N99"/>
      <c r="O99"/>
      <c r="P99"/>
      <c r="Q99"/>
      <c r="R99"/>
      <c r="S99"/>
      <c r="T99"/>
      <c r="U99"/>
      <c r="V99"/>
      <c r="W99"/>
      <c r="X99"/>
      <c r="Y99"/>
      <c r="Z99"/>
    </row>
    <row r="100" spans="1:256" s="1093" customFormat="1" ht="76.5" customHeight="1">
      <c r="A100" s="2566" t="s">
        <v>1232</v>
      </c>
      <c r="B100" s="2566"/>
      <c r="C100" s="2566"/>
      <c r="D100" s="2566"/>
      <c r="E100" s="2566"/>
      <c r="F100" s="2566"/>
      <c r="G100" s="2566"/>
      <c r="H100" s="2566"/>
      <c r="I100"/>
      <c r="J100"/>
      <c r="K100"/>
      <c r="L100"/>
      <c r="M100"/>
      <c r="N100"/>
      <c r="O100"/>
      <c r="P100"/>
      <c r="Q100"/>
      <c r="R100"/>
      <c r="S100"/>
      <c r="T100"/>
      <c r="U100"/>
      <c r="V100"/>
      <c r="W100"/>
      <c r="X100"/>
      <c r="Y100"/>
      <c r="Z100"/>
    </row>
    <row r="103" spans="1:256" s="1098" customFormat="1">
      <c r="A103" s="1130" t="s">
        <v>4</v>
      </c>
      <c r="B103" s="1097"/>
      <c r="C103" s="1097"/>
      <c r="D103" s="1097"/>
      <c r="E103" s="1097"/>
      <c r="F103" s="1097"/>
      <c r="G103" s="1097"/>
      <c r="H103" s="1097"/>
      <c r="I103"/>
      <c r="J103"/>
      <c r="K103"/>
      <c r="L103"/>
      <c r="M103"/>
      <c r="N103"/>
      <c r="O103"/>
      <c r="P103"/>
      <c r="Q103"/>
      <c r="R103"/>
      <c r="S103"/>
      <c r="T103"/>
      <c r="U103"/>
      <c r="V103"/>
      <c r="W103"/>
      <c r="X103"/>
      <c r="Y103"/>
      <c r="Z103"/>
      <c r="AA103" s="1097"/>
      <c r="AB103" s="1097"/>
      <c r="AC103" s="1097"/>
      <c r="AD103" s="1097"/>
      <c r="AE103" s="1097"/>
      <c r="AF103" s="1097"/>
      <c r="AG103" s="1097"/>
      <c r="AH103" s="1097"/>
      <c r="AI103" s="1097"/>
      <c r="AJ103" s="1097"/>
      <c r="AK103" s="1097"/>
      <c r="AL103" s="1097"/>
      <c r="AM103" s="1097"/>
      <c r="AN103" s="1097"/>
      <c r="AO103" s="1097"/>
      <c r="AP103" s="1097"/>
      <c r="AQ103" s="1097"/>
      <c r="AR103" s="1097"/>
      <c r="AS103" s="1097"/>
      <c r="AT103" s="1097"/>
      <c r="AU103" s="1097"/>
      <c r="AV103" s="1097"/>
      <c r="AW103" s="1097"/>
      <c r="AX103" s="1097"/>
      <c r="AY103" s="1097"/>
      <c r="AZ103" s="1097"/>
      <c r="BA103" s="1097"/>
      <c r="BB103" s="1097"/>
      <c r="BC103" s="1097"/>
      <c r="BD103" s="1097"/>
      <c r="BE103" s="1097"/>
      <c r="BF103" s="1097"/>
      <c r="BG103" s="1097"/>
      <c r="BH103" s="1097"/>
      <c r="BI103" s="1097"/>
      <c r="BJ103" s="1097"/>
      <c r="BK103" s="1097"/>
      <c r="BL103" s="1097"/>
      <c r="BM103" s="1097"/>
      <c r="BN103" s="1097"/>
      <c r="BO103" s="1097"/>
      <c r="BP103" s="1097"/>
      <c r="BQ103" s="1097"/>
      <c r="BR103" s="1097"/>
      <c r="BS103" s="1097"/>
      <c r="BT103" s="1097"/>
      <c r="BU103" s="1097"/>
      <c r="BV103" s="1097"/>
      <c r="BW103" s="1097"/>
      <c r="BX103" s="1097"/>
      <c r="BY103" s="1097"/>
      <c r="BZ103" s="1097"/>
      <c r="CA103" s="1097"/>
      <c r="CB103" s="1097"/>
      <c r="CC103" s="1097"/>
      <c r="CD103" s="1097"/>
      <c r="CE103" s="1097"/>
      <c r="CF103" s="1097"/>
      <c r="CG103" s="1097"/>
      <c r="CH103" s="1097"/>
      <c r="CI103" s="1097"/>
      <c r="CJ103" s="1097"/>
      <c r="CK103" s="1097"/>
      <c r="CL103" s="1097"/>
      <c r="CM103" s="1097"/>
      <c r="CN103" s="1097"/>
      <c r="CO103" s="1097"/>
      <c r="CP103" s="1097"/>
      <c r="CQ103" s="1097"/>
      <c r="CR103" s="1097"/>
      <c r="CS103" s="1097"/>
      <c r="CT103" s="1097"/>
      <c r="CU103" s="1097"/>
      <c r="CV103" s="1097"/>
      <c r="CW103" s="1097"/>
      <c r="CX103" s="1097"/>
      <c r="CY103" s="1097"/>
      <c r="CZ103" s="1097"/>
      <c r="DA103" s="1097"/>
      <c r="DB103" s="1097"/>
      <c r="DC103" s="1097"/>
      <c r="DD103" s="1097"/>
      <c r="DE103" s="1097"/>
      <c r="DF103" s="1097"/>
      <c r="DG103" s="1097"/>
      <c r="DH103" s="1097"/>
      <c r="DI103" s="1097"/>
      <c r="DJ103" s="1097"/>
      <c r="DK103" s="1097"/>
      <c r="DL103" s="1097"/>
      <c r="DM103" s="1097"/>
      <c r="DN103" s="1097"/>
      <c r="DO103" s="1097"/>
      <c r="DP103" s="1097"/>
      <c r="DQ103" s="1097"/>
      <c r="DR103" s="1097"/>
      <c r="DS103" s="1097"/>
      <c r="DT103" s="1097"/>
      <c r="DU103" s="1097"/>
      <c r="DV103" s="1097"/>
      <c r="DW103" s="1097"/>
      <c r="DX103" s="1097"/>
      <c r="DY103" s="1097"/>
      <c r="DZ103" s="1097"/>
      <c r="EA103" s="1097"/>
      <c r="EB103" s="1097"/>
      <c r="EC103" s="1097"/>
      <c r="ED103" s="1097"/>
      <c r="EE103" s="1097"/>
      <c r="EF103" s="1097"/>
      <c r="EG103" s="1097"/>
      <c r="EH103" s="1097"/>
      <c r="EI103" s="1097"/>
      <c r="EJ103" s="1097"/>
      <c r="EK103" s="1097"/>
      <c r="EL103" s="1097"/>
      <c r="EM103" s="1097"/>
      <c r="EN103" s="1097"/>
      <c r="EO103" s="1097"/>
      <c r="EP103" s="1097"/>
      <c r="EQ103" s="1097"/>
      <c r="ER103" s="1097"/>
      <c r="ES103" s="1097"/>
      <c r="ET103" s="1097"/>
      <c r="EU103" s="1097"/>
      <c r="EV103" s="1097"/>
      <c r="EW103" s="1097"/>
      <c r="EX103" s="1097"/>
      <c r="EY103" s="1097"/>
      <c r="EZ103" s="1097"/>
      <c r="FA103" s="1097"/>
      <c r="FB103" s="1097"/>
      <c r="FC103" s="1097"/>
      <c r="FD103" s="1097"/>
      <c r="FE103" s="1097"/>
      <c r="FF103" s="1097"/>
      <c r="FG103" s="1097"/>
      <c r="FH103" s="1097"/>
      <c r="FI103" s="1097"/>
      <c r="FJ103" s="1097"/>
      <c r="FK103" s="1097"/>
      <c r="FL103" s="1097"/>
      <c r="FM103" s="1097"/>
      <c r="FN103" s="1097"/>
      <c r="FO103" s="1097"/>
      <c r="FP103" s="1097"/>
      <c r="FQ103" s="1097"/>
      <c r="FR103" s="1097"/>
      <c r="FS103" s="1097"/>
      <c r="FT103" s="1097"/>
      <c r="FU103" s="1097"/>
      <c r="FV103" s="1097"/>
      <c r="FW103" s="1097"/>
      <c r="FX103" s="1097"/>
      <c r="FY103" s="1097"/>
      <c r="FZ103" s="1097"/>
      <c r="GA103" s="1097"/>
      <c r="GB103" s="1097"/>
      <c r="GC103" s="1097"/>
      <c r="GD103" s="1097"/>
      <c r="GE103" s="1097"/>
      <c r="GF103" s="1097"/>
      <c r="GG103" s="1097"/>
      <c r="GH103" s="1097"/>
      <c r="GI103" s="1097"/>
      <c r="GJ103" s="1097"/>
      <c r="GK103" s="1097"/>
      <c r="GL103" s="1097"/>
      <c r="GM103" s="1097"/>
      <c r="GN103" s="1097"/>
      <c r="GO103" s="1097"/>
      <c r="GP103" s="1097"/>
      <c r="GQ103" s="1097"/>
      <c r="GR103" s="1097"/>
      <c r="GS103" s="1097"/>
      <c r="GT103" s="1097"/>
      <c r="GU103" s="1097"/>
      <c r="GV103" s="1097"/>
      <c r="GW103" s="1097"/>
      <c r="GX103" s="1097"/>
      <c r="GY103" s="1097"/>
      <c r="GZ103" s="1097"/>
      <c r="HA103" s="1097"/>
      <c r="HB103" s="1097"/>
      <c r="HC103" s="1097"/>
      <c r="HD103" s="1097"/>
      <c r="HE103" s="1097"/>
      <c r="HF103" s="1097"/>
      <c r="HG103" s="1097"/>
      <c r="HH103" s="1097"/>
      <c r="HI103" s="1097"/>
      <c r="HJ103" s="1097"/>
      <c r="HK103" s="1097"/>
      <c r="HL103" s="1097"/>
      <c r="HM103" s="1097"/>
      <c r="HN103" s="1097"/>
      <c r="HO103" s="1097"/>
      <c r="HP103" s="1097"/>
      <c r="HQ103" s="1097"/>
      <c r="HR103" s="1097"/>
      <c r="HS103" s="1097"/>
      <c r="HT103" s="1097"/>
      <c r="HU103" s="1097"/>
      <c r="HV103" s="1097"/>
      <c r="HW103" s="1097"/>
      <c r="HX103" s="1097"/>
      <c r="HY103" s="1097"/>
      <c r="HZ103" s="1097"/>
      <c r="IA103" s="1097"/>
      <c r="IB103" s="1097"/>
      <c r="IC103" s="1097"/>
      <c r="ID103" s="1097"/>
      <c r="IE103" s="1097"/>
      <c r="IF103" s="1097"/>
      <c r="IG103" s="1097"/>
      <c r="IH103" s="1097"/>
      <c r="II103" s="1097"/>
      <c r="IJ103" s="1097"/>
      <c r="IK103" s="1097"/>
      <c r="IL103" s="1097"/>
      <c r="IM103" s="1097"/>
      <c r="IN103" s="1097"/>
      <c r="IO103" s="1097"/>
      <c r="IP103" s="1097"/>
      <c r="IQ103" s="1097"/>
      <c r="IR103" s="1097"/>
      <c r="IS103" s="1097"/>
      <c r="IT103" s="1097"/>
      <c r="IU103" s="1097"/>
      <c r="IV103" s="1097"/>
    </row>
    <row r="104" spans="1:256" s="1098" customFormat="1" ht="29.25" customHeight="1">
      <c r="A104" s="2668" t="s">
        <v>5</v>
      </c>
      <c r="B104" s="2554" t="s">
        <v>1822</v>
      </c>
      <c r="C104" s="2554" t="s">
        <v>1822</v>
      </c>
      <c r="D104" s="2554" t="s">
        <v>1822</v>
      </c>
      <c r="E104" s="2554" t="s">
        <v>1822</v>
      </c>
      <c r="F104" s="2554" t="s">
        <v>1822</v>
      </c>
      <c r="G104" s="2554" t="s">
        <v>1822</v>
      </c>
      <c r="H104" s="2554" t="s">
        <v>1822</v>
      </c>
      <c r="I104"/>
      <c r="J104"/>
      <c r="K104"/>
      <c r="L104"/>
      <c r="M104"/>
      <c r="N104"/>
      <c r="O104"/>
      <c r="P104"/>
      <c r="Q104"/>
      <c r="R104"/>
      <c r="S104"/>
      <c r="T104"/>
      <c r="U104"/>
      <c r="V104"/>
      <c r="W104"/>
      <c r="X104"/>
      <c r="Y104"/>
      <c r="Z104"/>
      <c r="AA104" s="1097"/>
      <c r="AB104" s="1097"/>
      <c r="AC104" s="1097"/>
      <c r="AD104" s="1097"/>
      <c r="AE104" s="1097"/>
      <c r="AF104" s="1097"/>
      <c r="AG104" s="1097"/>
      <c r="AH104" s="1097"/>
      <c r="AI104" s="1097"/>
      <c r="AJ104" s="1097"/>
      <c r="AK104" s="1097"/>
      <c r="AL104" s="1097"/>
      <c r="AM104" s="1097"/>
      <c r="AN104" s="1097"/>
      <c r="AO104" s="1097"/>
      <c r="AP104" s="1097"/>
      <c r="AQ104" s="1097"/>
      <c r="AR104" s="1097"/>
      <c r="AS104" s="1097"/>
      <c r="AT104" s="1097"/>
      <c r="AU104" s="1097"/>
      <c r="AV104" s="1097"/>
      <c r="AW104" s="1097"/>
      <c r="AX104" s="1097"/>
      <c r="AY104" s="1097"/>
      <c r="AZ104" s="1097"/>
      <c r="BA104" s="1097"/>
      <c r="BB104" s="1097"/>
      <c r="BC104" s="1097"/>
      <c r="BD104" s="1097"/>
      <c r="BE104" s="1097"/>
      <c r="BF104" s="1097"/>
      <c r="BG104" s="1097"/>
      <c r="BH104" s="1097"/>
      <c r="BI104" s="1097"/>
      <c r="BJ104" s="1097"/>
      <c r="BK104" s="1097"/>
      <c r="BL104" s="1097"/>
      <c r="BM104" s="1097"/>
      <c r="BN104" s="1097"/>
      <c r="BO104" s="1097"/>
      <c r="BP104" s="1097"/>
      <c r="BQ104" s="1097"/>
      <c r="BR104" s="1097"/>
      <c r="BS104" s="1097"/>
      <c r="BT104" s="1097"/>
      <c r="BU104" s="1097"/>
      <c r="BV104" s="1097"/>
      <c r="BW104" s="1097"/>
      <c r="BX104" s="1097"/>
      <c r="BY104" s="1097"/>
      <c r="BZ104" s="1097"/>
      <c r="CA104" s="1097"/>
      <c r="CB104" s="1097"/>
      <c r="CC104" s="1097"/>
      <c r="CD104" s="1097"/>
      <c r="CE104" s="1097"/>
      <c r="CF104" s="1097"/>
      <c r="CG104" s="1097"/>
      <c r="CH104" s="1097"/>
      <c r="CI104" s="1097"/>
      <c r="CJ104" s="1097"/>
      <c r="CK104" s="1097"/>
      <c r="CL104" s="1097"/>
      <c r="CM104" s="1097"/>
      <c r="CN104" s="1097"/>
      <c r="CO104" s="1097"/>
      <c r="CP104" s="1097"/>
      <c r="CQ104" s="1097"/>
      <c r="CR104" s="1097"/>
      <c r="CS104" s="1097"/>
      <c r="CT104" s="1097"/>
      <c r="CU104" s="1097"/>
      <c r="CV104" s="1097"/>
      <c r="CW104" s="1097"/>
      <c r="CX104" s="1097"/>
      <c r="CY104" s="1097"/>
      <c r="CZ104" s="1097"/>
      <c r="DA104" s="1097"/>
      <c r="DB104" s="1097"/>
      <c r="DC104" s="1097"/>
      <c r="DD104" s="1097"/>
      <c r="DE104" s="1097"/>
      <c r="DF104" s="1097"/>
      <c r="DG104" s="1097"/>
      <c r="DH104" s="1097"/>
      <c r="DI104" s="1097"/>
      <c r="DJ104" s="1097"/>
      <c r="DK104" s="1097"/>
      <c r="DL104" s="1097"/>
      <c r="DM104" s="1097"/>
      <c r="DN104" s="1097"/>
      <c r="DO104" s="1097"/>
      <c r="DP104" s="1097"/>
      <c r="DQ104" s="1097"/>
      <c r="DR104" s="1097"/>
      <c r="DS104" s="1097"/>
      <c r="DT104" s="1097"/>
      <c r="DU104" s="1097"/>
      <c r="DV104" s="1097"/>
      <c r="DW104" s="1097"/>
      <c r="DX104" s="1097"/>
      <c r="DY104" s="1097"/>
      <c r="DZ104" s="1097"/>
      <c r="EA104" s="1097"/>
      <c r="EB104" s="1097"/>
      <c r="EC104" s="1097"/>
      <c r="ED104" s="1097"/>
      <c r="EE104" s="1097"/>
      <c r="EF104" s="1097"/>
      <c r="EG104" s="1097"/>
      <c r="EH104" s="1097"/>
      <c r="EI104" s="1097"/>
      <c r="EJ104" s="1097"/>
      <c r="EK104" s="1097"/>
      <c r="EL104" s="1097"/>
      <c r="EM104" s="1097"/>
      <c r="EN104" s="1097"/>
      <c r="EO104" s="1097"/>
      <c r="EP104" s="1097"/>
      <c r="EQ104" s="1097"/>
      <c r="ER104" s="1097"/>
      <c r="ES104" s="1097"/>
      <c r="ET104" s="1097"/>
      <c r="EU104" s="1097"/>
      <c r="EV104" s="1097"/>
      <c r="EW104" s="1097"/>
      <c r="EX104" s="1097"/>
      <c r="EY104" s="1097"/>
      <c r="EZ104" s="1097"/>
      <c r="FA104" s="1097"/>
      <c r="FB104" s="1097"/>
      <c r="FC104" s="1097"/>
      <c r="FD104" s="1097"/>
      <c r="FE104" s="1097"/>
      <c r="FF104" s="1097"/>
      <c r="FG104" s="1097"/>
      <c r="FH104" s="1097"/>
      <c r="FI104" s="1097"/>
      <c r="FJ104" s="1097"/>
      <c r="FK104" s="1097"/>
      <c r="FL104" s="1097"/>
      <c r="FM104" s="1097"/>
      <c r="FN104" s="1097"/>
      <c r="FO104" s="1097"/>
      <c r="FP104" s="1097"/>
      <c r="FQ104" s="1097"/>
      <c r="FR104" s="1097"/>
      <c r="FS104" s="1097"/>
      <c r="FT104" s="1097"/>
      <c r="FU104" s="1097"/>
      <c r="FV104" s="1097"/>
      <c r="FW104" s="1097"/>
      <c r="FX104" s="1097"/>
      <c r="FY104" s="1097"/>
      <c r="FZ104" s="1097"/>
      <c r="GA104" s="1097"/>
      <c r="GB104" s="1097"/>
      <c r="GC104" s="1097"/>
      <c r="GD104" s="1097"/>
      <c r="GE104" s="1097"/>
      <c r="GF104" s="1097"/>
      <c r="GG104" s="1097"/>
      <c r="GH104" s="1097"/>
      <c r="GI104" s="1097"/>
      <c r="GJ104" s="1097"/>
      <c r="GK104" s="1097"/>
      <c r="GL104" s="1097"/>
      <c r="GM104" s="1097"/>
      <c r="GN104" s="1097"/>
      <c r="GO104" s="1097"/>
      <c r="GP104" s="1097"/>
      <c r="GQ104" s="1097"/>
      <c r="GR104" s="1097"/>
      <c r="GS104" s="1097"/>
      <c r="GT104" s="1097"/>
      <c r="GU104" s="1097"/>
      <c r="GV104" s="1097"/>
      <c r="GW104" s="1097"/>
      <c r="GX104" s="1097"/>
      <c r="GY104" s="1097"/>
      <c r="GZ104" s="1097"/>
      <c r="HA104" s="1097"/>
      <c r="HB104" s="1097"/>
      <c r="HC104" s="1097"/>
      <c r="HD104" s="1097"/>
      <c r="HE104" s="1097"/>
      <c r="HF104" s="1097"/>
      <c r="HG104" s="1097"/>
      <c r="HH104" s="1097"/>
      <c r="HI104" s="1097"/>
      <c r="HJ104" s="1097"/>
      <c r="HK104" s="1097"/>
      <c r="HL104" s="1097"/>
      <c r="HM104" s="1097"/>
      <c r="HN104" s="1097"/>
      <c r="HO104" s="1097"/>
      <c r="HP104" s="1097"/>
      <c r="HQ104" s="1097"/>
      <c r="HR104" s="1097"/>
      <c r="HS104" s="1097"/>
      <c r="HT104" s="1097"/>
      <c r="HU104" s="1097"/>
      <c r="HV104" s="1097"/>
      <c r="HW104" s="1097"/>
      <c r="HX104" s="1097"/>
      <c r="HY104" s="1097"/>
      <c r="HZ104" s="1097"/>
      <c r="IA104" s="1097"/>
      <c r="IB104" s="1097"/>
      <c r="IC104" s="1097"/>
      <c r="ID104" s="1097"/>
      <c r="IE104" s="1097"/>
      <c r="IF104" s="1097"/>
      <c r="IG104" s="1097"/>
      <c r="IH104" s="1097"/>
      <c r="II104" s="1097"/>
      <c r="IJ104" s="1097"/>
      <c r="IK104" s="1097"/>
      <c r="IL104" s="1097"/>
      <c r="IM104" s="1097"/>
      <c r="IN104" s="1097"/>
      <c r="IO104" s="1097"/>
      <c r="IP104" s="1097"/>
      <c r="IQ104" s="1097"/>
      <c r="IR104" s="1097"/>
      <c r="IS104" s="1097"/>
      <c r="IT104" s="1097"/>
      <c r="IU104" s="1097"/>
      <c r="IV104" s="1097"/>
    </row>
    <row r="105" spans="1:256" s="1093" customFormat="1" ht="12.75" customHeight="1">
      <c r="A105" s="1131"/>
      <c r="B105" s="1131"/>
      <c r="C105" s="1131"/>
      <c r="D105" s="1131"/>
      <c r="E105" s="1131"/>
      <c r="F105" s="1131"/>
      <c r="G105" s="1131"/>
      <c r="H105" s="1131"/>
      <c r="I105"/>
      <c r="J105"/>
      <c r="K105"/>
      <c r="L105"/>
      <c r="M105"/>
      <c r="N105"/>
      <c r="O105"/>
      <c r="P105"/>
      <c r="Q105"/>
      <c r="R105"/>
      <c r="S105"/>
      <c r="T105"/>
      <c r="U105"/>
      <c r="V105"/>
      <c r="W105"/>
      <c r="X105"/>
      <c r="Y105"/>
      <c r="Z105"/>
    </row>
    <row r="106" spans="1:256" s="1093" customFormat="1" ht="12.75" customHeight="1">
      <c r="A106" s="1132" t="s">
        <v>1823</v>
      </c>
      <c r="B106" s="1133"/>
      <c r="C106" s="1133"/>
      <c r="D106" s="1133"/>
      <c r="E106" s="1133"/>
      <c r="F106" s="1133"/>
      <c r="G106" s="1133"/>
      <c r="H106" s="1133"/>
      <c r="I106"/>
      <c r="J106"/>
      <c r="K106"/>
      <c r="L106"/>
      <c r="M106"/>
      <c r="N106"/>
      <c r="O106"/>
      <c r="P106"/>
      <c r="Q106"/>
      <c r="R106"/>
      <c r="S106"/>
      <c r="T106"/>
      <c r="U106"/>
      <c r="V106"/>
      <c r="W106"/>
      <c r="X106"/>
      <c r="Y106"/>
      <c r="Z106"/>
    </row>
    <row r="107" spans="1:256" s="1093" customFormat="1" ht="76.5" customHeight="1">
      <c r="A107" s="2669" t="s">
        <v>1824</v>
      </c>
      <c r="B107" s="2669" t="s">
        <v>1825</v>
      </c>
      <c r="C107" s="2669" t="s">
        <v>1825</v>
      </c>
      <c r="D107" s="2669" t="s">
        <v>1825</v>
      </c>
      <c r="E107" s="2669" t="s">
        <v>1825</v>
      </c>
      <c r="F107" s="2669" t="s">
        <v>1825</v>
      </c>
      <c r="G107" s="2669" t="s">
        <v>1825</v>
      </c>
      <c r="H107" s="2669" t="s">
        <v>1825</v>
      </c>
      <c r="I107"/>
      <c r="J107"/>
      <c r="K107"/>
      <c r="L107"/>
      <c r="M107"/>
      <c r="N107"/>
      <c r="O107"/>
      <c r="P107"/>
      <c r="Q107"/>
      <c r="R107"/>
      <c r="S107"/>
      <c r="T107"/>
      <c r="U107"/>
      <c r="V107"/>
      <c r="W107"/>
      <c r="X107"/>
      <c r="Y107"/>
      <c r="Z107"/>
    </row>
    <row r="109" spans="1:256" s="1093" customFormat="1" ht="12.75" customHeight="1">
      <c r="A109" s="2654" t="s">
        <v>1826</v>
      </c>
      <c r="B109" s="2655"/>
      <c r="C109" s="2655"/>
      <c r="D109" s="2655"/>
      <c r="E109" s="2655"/>
      <c r="F109" s="2655"/>
      <c r="G109" s="2655"/>
      <c r="H109" s="2655"/>
      <c r="I109"/>
      <c r="J109"/>
      <c r="K109"/>
      <c r="L109"/>
      <c r="M109"/>
      <c r="N109"/>
      <c r="O109"/>
      <c r="P109"/>
      <c r="Q109"/>
      <c r="R109"/>
      <c r="S109"/>
      <c r="T109"/>
      <c r="U109"/>
      <c r="V109"/>
      <c r="W109"/>
      <c r="X109"/>
      <c r="Y109"/>
      <c r="Z109"/>
    </row>
    <row r="110" spans="1:256" s="1134" customFormat="1" ht="89.25" customHeight="1">
      <c r="A110" s="2664" t="s">
        <v>1827</v>
      </c>
      <c r="B110" s="2665" t="s">
        <v>1828</v>
      </c>
      <c r="C110" s="2665" t="s">
        <v>1828</v>
      </c>
      <c r="D110" s="2665" t="s">
        <v>1828</v>
      </c>
      <c r="E110" s="2665" t="s">
        <v>1828</v>
      </c>
      <c r="F110" s="2665" t="s">
        <v>1828</v>
      </c>
      <c r="G110" s="2665" t="s">
        <v>1828</v>
      </c>
      <c r="H110" s="2665" t="s">
        <v>1828</v>
      </c>
      <c r="I110"/>
      <c r="J110"/>
      <c r="K110"/>
      <c r="L110"/>
      <c r="M110"/>
      <c r="N110"/>
      <c r="O110"/>
      <c r="P110"/>
      <c r="Q110"/>
      <c r="R110"/>
      <c r="S110"/>
      <c r="T110"/>
      <c r="U110"/>
      <c r="V110"/>
      <c r="W110"/>
      <c r="X110"/>
      <c r="Y110"/>
      <c r="Z110"/>
    </row>
    <row r="111" spans="1:256" s="1098" customFormat="1" ht="25.5" customHeight="1">
      <c r="A111" s="2664" t="s">
        <v>1829</v>
      </c>
      <c r="B111" s="2665" t="s">
        <v>1830</v>
      </c>
      <c r="C111" s="2665" t="s">
        <v>1830</v>
      </c>
      <c r="D111" s="2665" t="s">
        <v>1830</v>
      </c>
      <c r="E111" s="2665" t="s">
        <v>1830</v>
      </c>
      <c r="F111" s="2665" t="s">
        <v>1830</v>
      </c>
      <c r="G111" s="2665" t="s">
        <v>1830</v>
      </c>
      <c r="H111" s="2665" t="s">
        <v>1830</v>
      </c>
      <c r="I111"/>
      <c r="J111"/>
      <c r="K111"/>
      <c r="L111"/>
      <c r="M111"/>
      <c r="N111"/>
      <c r="O111"/>
      <c r="P111"/>
      <c r="Q111"/>
      <c r="R111"/>
      <c r="S111"/>
      <c r="T111"/>
      <c r="U111"/>
      <c r="V111"/>
      <c r="W111"/>
      <c r="X111"/>
      <c r="Y111"/>
      <c r="Z111"/>
      <c r="AA111" s="1097"/>
      <c r="AB111" s="1097"/>
      <c r="AC111" s="1097"/>
      <c r="AD111" s="1097"/>
      <c r="AE111" s="1097"/>
      <c r="AF111" s="1097"/>
      <c r="AG111" s="1097"/>
      <c r="AH111" s="1097"/>
      <c r="AI111" s="1097"/>
      <c r="AJ111" s="1097"/>
      <c r="AK111" s="1097"/>
      <c r="AL111" s="1097"/>
      <c r="AM111" s="1097"/>
      <c r="AN111" s="1097"/>
      <c r="AO111" s="1097"/>
      <c r="AP111" s="1097"/>
      <c r="AQ111" s="1097"/>
      <c r="AR111" s="1097"/>
      <c r="AS111" s="1097"/>
      <c r="AT111" s="1097"/>
      <c r="AU111" s="1097"/>
      <c r="AV111" s="1097"/>
      <c r="AW111" s="1097"/>
      <c r="AX111" s="1097"/>
      <c r="AY111" s="1097"/>
      <c r="AZ111" s="1097"/>
      <c r="BA111" s="1097"/>
      <c r="BB111" s="1097"/>
      <c r="BC111" s="1097"/>
      <c r="BD111" s="1097"/>
      <c r="BE111" s="1097"/>
      <c r="BF111" s="1097"/>
      <c r="BG111" s="1097"/>
      <c r="BH111" s="1097"/>
      <c r="BI111" s="1097"/>
      <c r="BJ111" s="1097"/>
      <c r="BK111" s="1097"/>
      <c r="BL111" s="1097"/>
      <c r="BM111" s="1097"/>
      <c r="BN111" s="1097"/>
      <c r="BO111" s="1097"/>
      <c r="BP111" s="1097"/>
      <c r="BQ111" s="1097"/>
      <c r="BR111" s="1097"/>
      <c r="BS111" s="1097"/>
      <c r="BT111" s="1097"/>
      <c r="BU111" s="1097"/>
      <c r="BV111" s="1097"/>
      <c r="BW111" s="1097"/>
      <c r="BX111" s="1097"/>
      <c r="BY111" s="1097"/>
      <c r="BZ111" s="1097"/>
      <c r="CA111" s="1097"/>
      <c r="CB111" s="1097"/>
      <c r="CC111" s="1097"/>
      <c r="CD111" s="1097"/>
      <c r="CE111" s="1097"/>
      <c r="CF111" s="1097"/>
      <c r="CG111" s="1097"/>
      <c r="CH111" s="1097"/>
      <c r="CI111" s="1097"/>
      <c r="CJ111" s="1097"/>
      <c r="CK111" s="1097"/>
      <c r="CL111" s="1097"/>
      <c r="CM111" s="1097"/>
      <c r="CN111" s="1097"/>
      <c r="CO111" s="1097"/>
      <c r="CP111" s="1097"/>
      <c r="CQ111" s="1097"/>
      <c r="CR111" s="1097"/>
      <c r="CS111" s="1097"/>
      <c r="CT111" s="1097"/>
      <c r="CU111" s="1097"/>
      <c r="CV111" s="1097"/>
      <c r="CW111" s="1097"/>
      <c r="CX111" s="1097"/>
      <c r="CY111" s="1097"/>
      <c r="CZ111" s="1097"/>
      <c r="DA111" s="1097"/>
      <c r="DB111" s="1097"/>
      <c r="DC111" s="1097"/>
      <c r="DD111" s="1097"/>
      <c r="DE111" s="1097"/>
      <c r="DF111" s="1097"/>
      <c r="DG111" s="1097"/>
      <c r="DH111" s="1097"/>
      <c r="DI111" s="1097"/>
      <c r="DJ111" s="1097"/>
      <c r="DK111" s="1097"/>
      <c r="DL111" s="1097"/>
      <c r="DM111" s="1097"/>
      <c r="DN111" s="1097"/>
      <c r="DO111" s="1097"/>
      <c r="DP111" s="1097"/>
      <c r="DQ111" s="1097"/>
      <c r="DR111" s="1097"/>
      <c r="DS111" s="1097"/>
      <c r="DT111" s="1097"/>
      <c r="DU111" s="1097"/>
      <c r="DV111" s="1097"/>
      <c r="DW111" s="1097"/>
      <c r="DX111" s="1097"/>
      <c r="DY111" s="1097"/>
      <c r="DZ111" s="1097"/>
      <c r="EA111" s="1097"/>
      <c r="EB111" s="1097"/>
      <c r="EC111" s="1097"/>
      <c r="ED111" s="1097"/>
      <c r="EE111" s="1097"/>
      <c r="EF111" s="1097"/>
      <c r="EG111" s="1097"/>
      <c r="EH111" s="1097"/>
      <c r="EI111" s="1097"/>
      <c r="EJ111" s="1097"/>
      <c r="EK111" s="1097"/>
      <c r="EL111" s="1097"/>
      <c r="EM111" s="1097"/>
      <c r="EN111" s="1097"/>
      <c r="EO111" s="1097"/>
      <c r="EP111" s="1097"/>
      <c r="EQ111" s="1097"/>
      <c r="ER111" s="1097"/>
      <c r="ES111" s="1097"/>
      <c r="ET111" s="1097"/>
      <c r="EU111" s="1097"/>
      <c r="EV111" s="1097"/>
      <c r="EW111" s="1097"/>
      <c r="EX111" s="1097"/>
      <c r="EY111" s="1097"/>
      <c r="EZ111" s="1097"/>
      <c r="FA111" s="1097"/>
      <c r="FB111" s="1097"/>
      <c r="FC111" s="1097"/>
      <c r="FD111" s="1097"/>
      <c r="FE111" s="1097"/>
      <c r="FF111" s="1097"/>
      <c r="FG111" s="1097"/>
      <c r="FH111" s="1097"/>
      <c r="FI111" s="1097"/>
      <c r="FJ111" s="1097"/>
      <c r="FK111" s="1097"/>
      <c r="FL111" s="1097"/>
      <c r="FM111" s="1097"/>
      <c r="FN111" s="1097"/>
      <c r="FO111" s="1097"/>
      <c r="FP111" s="1097"/>
      <c r="FQ111" s="1097"/>
      <c r="FR111" s="1097"/>
      <c r="FS111" s="1097"/>
      <c r="FT111" s="1097"/>
      <c r="FU111" s="1097"/>
      <c r="FV111" s="1097"/>
      <c r="FW111" s="1097"/>
      <c r="FX111" s="1097"/>
      <c r="FY111" s="1097"/>
      <c r="FZ111" s="1097"/>
      <c r="GA111" s="1097"/>
      <c r="GB111" s="1097"/>
      <c r="GC111" s="1097"/>
      <c r="GD111" s="1097"/>
      <c r="GE111" s="1097"/>
      <c r="GF111" s="1097"/>
      <c r="GG111" s="1097"/>
      <c r="GH111" s="1097"/>
      <c r="GI111" s="1097"/>
      <c r="GJ111" s="1097"/>
      <c r="GK111" s="1097"/>
      <c r="GL111" s="1097"/>
      <c r="GM111" s="1097"/>
      <c r="GN111" s="1097"/>
      <c r="GO111" s="1097"/>
      <c r="GP111" s="1097"/>
      <c r="GQ111" s="1097"/>
      <c r="GR111" s="1097"/>
      <c r="GS111" s="1097"/>
      <c r="GT111" s="1097"/>
      <c r="GU111" s="1097"/>
      <c r="GV111" s="1097"/>
      <c r="GW111" s="1097"/>
      <c r="GX111" s="1097"/>
      <c r="GY111" s="1097"/>
      <c r="GZ111" s="1097"/>
      <c r="HA111" s="1097"/>
      <c r="HB111" s="1097"/>
      <c r="HC111" s="1097"/>
      <c r="HD111" s="1097"/>
      <c r="HE111" s="1097"/>
      <c r="HF111" s="1097"/>
      <c r="HG111" s="1097"/>
      <c r="HH111" s="1097"/>
      <c r="HI111" s="1097"/>
      <c r="HJ111" s="1097"/>
      <c r="HK111" s="1097"/>
      <c r="HL111" s="1097"/>
      <c r="HM111" s="1097"/>
      <c r="HN111" s="1097"/>
      <c r="HO111" s="1097"/>
      <c r="HP111" s="1097"/>
      <c r="HQ111" s="1097"/>
      <c r="HR111" s="1097"/>
      <c r="HS111" s="1097"/>
      <c r="HT111" s="1097"/>
      <c r="HU111" s="1097"/>
      <c r="HV111" s="1097"/>
      <c r="HW111" s="1097"/>
      <c r="HX111" s="1097"/>
      <c r="HY111" s="1097"/>
      <c r="HZ111" s="1097"/>
      <c r="IA111" s="1097"/>
      <c r="IB111" s="1097"/>
      <c r="IC111" s="1097"/>
      <c r="ID111" s="1097"/>
      <c r="IE111" s="1097"/>
      <c r="IF111" s="1097"/>
      <c r="IG111" s="1097"/>
      <c r="IH111" s="1097"/>
      <c r="II111" s="1097"/>
      <c r="IJ111" s="1097"/>
      <c r="IK111" s="1097"/>
      <c r="IL111" s="1097"/>
      <c r="IM111" s="1097"/>
      <c r="IN111" s="1097"/>
      <c r="IO111" s="1097"/>
      <c r="IP111" s="1097"/>
      <c r="IQ111" s="1097"/>
      <c r="IR111" s="1097"/>
      <c r="IS111" s="1097"/>
      <c r="IT111" s="1097"/>
      <c r="IU111" s="1097"/>
      <c r="IV111" s="1097"/>
    </row>
    <row r="112" spans="1:256" s="1098" customFormat="1" ht="38.25" customHeight="1">
      <c r="A112" s="2657" t="s">
        <v>1831</v>
      </c>
      <c r="B112" s="2658" t="s">
        <v>493</v>
      </c>
      <c r="C112" s="2658" t="s">
        <v>493</v>
      </c>
      <c r="D112" s="2658" t="s">
        <v>493</v>
      </c>
      <c r="E112" s="2658" t="s">
        <v>493</v>
      </c>
      <c r="F112" s="2658" t="s">
        <v>493</v>
      </c>
      <c r="G112" s="2658" t="s">
        <v>493</v>
      </c>
      <c r="H112" s="2658" t="s">
        <v>493</v>
      </c>
      <c r="I112"/>
      <c r="J112"/>
      <c r="K112"/>
      <c r="L112"/>
      <c r="M112"/>
      <c r="N112"/>
      <c r="O112"/>
      <c r="P112"/>
      <c r="Q112"/>
      <c r="R112"/>
      <c r="S112"/>
      <c r="T112"/>
      <c r="U112"/>
      <c r="V112"/>
      <c r="W112"/>
      <c r="X112"/>
      <c r="Y112"/>
      <c r="Z112"/>
      <c r="AA112" s="1097"/>
      <c r="AB112" s="1097"/>
      <c r="AC112" s="1097"/>
      <c r="AD112" s="1097"/>
      <c r="AE112" s="1097"/>
      <c r="AF112" s="1097"/>
      <c r="AG112" s="1097"/>
      <c r="AH112" s="1097"/>
      <c r="AI112" s="1097"/>
      <c r="AJ112" s="1097"/>
      <c r="AK112" s="1097"/>
      <c r="AL112" s="1097"/>
      <c r="AM112" s="1097"/>
      <c r="AN112" s="1097"/>
      <c r="AO112" s="1097"/>
      <c r="AP112" s="1097"/>
      <c r="AQ112" s="1097"/>
      <c r="AR112" s="1097"/>
      <c r="AS112" s="1097"/>
      <c r="AT112" s="1097"/>
      <c r="AU112" s="1097"/>
      <c r="AV112" s="1097"/>
      <c r="AW112" s="1097"/>
      <c r="AX112" s="1097"/>
      <c r="AY112" s="1097"/>
      <c r="AZ112" s="1097"/>
      <c r="BA112" s="1097"/>
      <c r="BB112" s="1097"/>
      <c r="BC112" s="1097"/>
      <c r="BD112" s="1097"/>
      <c r="BE112" s="1097"/>
      <c r="BF112" s="1097"/>
      <c r="BG112" s="1097"/>
      <c r="BH112" s="1097"/>
      <c r="BI112" s="1097"/>
      <c r="BJ112" s="1097"/>
      <c r="BK112" s="1097"/>
      <c r="BL112" s="1097"/>
      <c r="BM112" s="1097"/>
      <c r="BN112" s="1097"/>
      <c r="BO112" s="1097"/>
      <c r="BP112" s="1097"/>
      <c r="BQ112" s="1097"/>
      <c r="BR112" s="1097"/>
      <c r="BS112" s="1097"/>
      <c r="BT112" s="1097"/>
      <c r="BU112" s="1097"/>
      <c r="BV112" s="1097"/>
      <c r="BW112" s="1097"/>
      <c r="BX112" s="1097"/>
      <c r="BY112" s="1097"/>
      <c r="BZ112" s="1097"/>
      <c r="CA112" s="1097"/>
      <c r="CB112" s="1097"/>
      <c r="CC112" s="1097"/>
      <c r="CD112" s="1097"/>
      <c r="CE112" s="1097"/>
      <c r="CF112" s="1097"/>
      <c r="CG112" s="1097"/>
      <c r="CH112" s="1097"/>
      <c r="CI112" s="1097"/>
      <c r="CJ112" s="1097"/>
      <c r="CK112" s="1097"/>
      <c r="CL112" s="1097"/>
      <c r="CM112" s="1097"/>
      <c r="CN112" s="1097"/>
      <c r="CO112" s="1097"/>
      <c r="CP112" s="1097"/>
      <c r="CQ112" s="1097"/>
      <c r="CR112" s="1097"/>
      <c r="CS112" s="1097"/>
      <c r="CT112" s="1097"/>
      <c r="CU112" s="1097"/>
      <c r="CV112" s="1097"/>
      <c r="CW112" s="1097"/>
      <c r="CX112" s="1097"/>
      <c r="CY112" s="1097"/>
      <c r="CZ112" s="1097"/>
      <c r="DA112" s="1097"/>
      <c r="DB112" s="1097"/>
      <c r="DC112" s="1097"/>
      <c r="DD112" s="1097"/>
      <c r="DE112" s="1097"/>
      <c r="DF112" s="1097"/>
      <c r="DG112" s="1097"/>
      <c r="DH112" s="1097"/>
      <c r="DI112" s="1097"/>
      <c r="DJ112" s="1097"/>
      <c r="DK112" s="1097"/>
      <c r="DL112" s="1097"/>
      <c r="DM112" s="1097"/>
      <c r="DN112" s="1097"/>
      <c r="DO112" s="1097"/>
      <c r="DP112" s="1097"/>
      <c r="DQ112" s="1097"/>
      <c r="DR112" s="1097"/>
      <c r="DS112" s="1097"/>
      <c r="DT112" s="1097"/>
      <c r="DU112" s="1097"/>
      <c r="DV112" s="1097"/>
      <c r="DW112" s="1097"/>
      <c r="DX112" s="1097"/>
      <c r="DY112" s="1097"/>
      <c r="DZ112" s="1097"/>
      <c r="EA112" s="1097"/>
      <c r="EB112" s="1097"/>
      <c r="EC112" s="1097"/>
      <c r="ED112" s="1097"/>
      <c r="EE112" s="1097"/>
      <c r="EF112" s="1097"/>
      <c r="EG112" s="1097"/>
      <c r="EH112" s="1097"/>
      <c r="EI112" s="1097"/>
      <c r="EJ112" s="1097"/>
      <c r="EK112" s="1097"/>
      <c r="EL112" s="1097"/>
      <c r="EM112" s="1097"/>
      <c r="EN112" s="1097"/>
      <c r="EO112" s="1097"/>
      <c r="EP112" s="1097"/>
      <c r="EQ112" s="1097"/>
      <c r="ER112" s="1097"/>
      <c r="ES112" s="1097"/>
      <c r="ET112" s="1097"/>
      <c r="EU112" s="1097"/>
      <c r="EV112" s="1097"/>
      <c r="EW112" s="1097"/>
      <c r="EX112" s="1097"/>
      <c r="EY112" s="1097"/>
      <c r="EZ112" s="1097"/>
      <c r="FA112" s="1097"/>
      <c r="FB112" s="1097"/>
      <c r="FC112" s="1097"/>
      <c r="FD112" s="1097"/>
      <c r="FE112" s="1097"/>
      <c r="FF112" s="1097"/>
      <c r="FG112" s="1097"/>
      <c r="FH112" s="1097"/>
      <c r="FI112" s="1097"/>
      <c r="FJ112" s="1097"/>
      <c r="FK112" s="1097"/>
      <c r="FL112" s="1097"/>
      <c r="FM112" s="1097"/>
      <c r="FN112" s="1097"/>
      <c r="FO112" s="1097"/>
      <c r="FP112" s="1097"/>
      <c r="FQ112" s="1097"/>
      <c r="FR112" s="1097"/>
      <c r="FS112" s="1097"/>
      <c r="FT112" s="1097"/>
      <c r="FU112" s="1097"/>
      <c r="FV112" s="1097"/>
      <c r="FW112" s="1097"/>
      <c r="FX112" s="1097"/>
      <c r="FY112" s="1097"/>
      <c r="FZ112" s="1097"/>
      <c r="GA112" s="1097"/>
      <c r="GB112" s="1097"/>
      <c r="GC112" s="1097"/>
      <c r="GD112" s="1097"/>
      <c r="GE112" s="1097"/>
      <c r="GF112" s="1097"/>
      <c r="GG112" s="1097"/>
      <c r="GH112" s="1097"/>
      <c r="GI112" s="1097"/>
      <c r="GJ112" s="1097"/>
      <c r="GK112" s="1097"/>
      <c r="GL112" s="1097"/>
      <c r="GM112" s="1097"/>
      <c r="GN112" s="1097"/>
      <c r="GO112" s="1097"/>
      <c r="GP112" s="1097"/>
      <c r="GQ112" s="1097"/>
      <c r="GR112" s="1097"/>
      <c r="GS112" s="1097"/>
      <c r="GT112" s="1097"/>
      <c r="GU112" s="1097"/>
      <c r="GV112" s="1097"/>
      <c r="GW112" s="1097"/>
      <c r="GX112" s="1097"/>
      <c r="GY112" s="1097"/>
      <c r="GZ112" s="1097"/>
      <c r="HA112" s="1097"/>
      <c r="HB112" s="1097"/>
      <c r="HC112" s="1097"/>
      <c r="HD112" s="1097"/>
      <c r="HE112" s="1097"/>
      <c r="HF112" s="1097"/>
      <c r="HG112" s="1097"/>
      <c r="HH112" s="1097"/>
      <c r="HI112" s="1097"/>
      <c r="HJ112" s="1097"/>
      <c r="HK112" s="1097"/>
      <c r="HL112" s="1097"/>
      <c r="HM112" s="1097"/>
      <c r="HN112" s="1097"/>
      <c r="HO112" s="1097"/>
      <c r="HP112" s="1097"/>
      <c r="HQ112" s="1097"/>
      <c r="HR112" s="1097"/>
      <c r="HS112" s="1097"/>
      <c r="HT112" s="1097"/>
      <c r="HU112" s="1097"/>
      <c r="HV112" s="1097"/>
      <c r="HW112" s="1097"/>
      <c r="HX112" s="1097"/>
      <c r="HY112" s="1097"/>
      <c r="HZ112" s="1097"/>
      <c r="IA112" s="1097"/>
      <c r="IB112" s="1097"/>
      <c r="IC112" s="1097"/>
      <c r="ID112" s="1097"/>
      <c r="IE112" s="1097"/>
      <c r="IF112" s="1097"/>
      <c r="IG112" s="1097"/>
      <c r="IH112" s="1097"/>
      <c r="II112" s="1097"/>
      <c r="IJ112" s="1097"/>
      <c r="IK112" s="1097"/>
      <c r="IL112" s="1097"/>
      <c r="IM112" s="1097"/>
      <c r="IN112" s="1097"/>
      <c r="IO112" s="1097"/>
      <c r="IP112" s="1097"/>
      <c r="IQ112" s="1097"/>
      <c r="IR112" s="1097"/>
      <c r="IS112" s="1097"/>
      <c r="IT112" s="1097"/>
      <c r="IU112" s="1097"/>
      <c r="IV112" s="1097"/>
    </row>
    <row r="115" spans="1:256" s="1098" customFormat="1">
      <c r="A115" s="1130" t="s">
        <v>494</v>
      </c>
      <c r="B115" s="1097"/>
      <c r="C115" s="1097"/>
      <c r="D115" s="1097"/>
      <c r="E115" s="1097"/>
      <c r="F115" s="1097"/>
      <c r="G115" s="1097"/>
      <c r="H115" s="1097"/>
      <c r="I115"/>
      <c r="J115"/>
      <c r="K115"/>
      <c r="L115"/>
      <c r="M115"/>
      <c r="N115"/>
      <c r="O115"/>
      <c r="P115"/>
      <c r="Q115"/>
      <c r="R115"/>
      <c r="S115"/>
      <c r="T115"/>
      <c r="U115"/>
      <c r="V115"/>
      <c r="W115"/>
      <c r="X115"/>
      <c r="Y115"/>
      <c r="Z115"/>
      <c r="AA115" s="1097"/>
      <c r="AB115" s="1097"/>
      <c r="AC115" s="1097"/>
      <c r="AD115" s="1097"/>
      <c r="AE115" s="1097"/>
      <c r="AF115" s="1097"/>
      <c r="AG115" s="1097"/>
      <c r="AH115" s="1097"/>
      <c r="AI115" s="1097"/>
      <c r="AJ115" s="1097"/>
      <c r="AK115" s="1097"/>
      <c r="AL115" s="1097"/>
      <c r="AM115" s="1097"/>
      <c r="AN115" s="1097"/>
      <c r="AO115" s="1097"/>
      <c r="AP115" s="1097"/>
      <c r="AQ115" s="1097"/>
      <c r="AR115" s="1097"/>
      <c r="AS115" s="1097"/>
      <c r="AT115" s="1097"/>
      <c r="AU115" s="1097"/>
      <c r="AV115" s="1097"/>
      <c r="AW115" s="1097"/>
      <c r="AX115" s="1097"/>
      <c r="AY115" s="1097"/>
      <c r="AZ115" s="1097"/>
      <c r="BA115" s="1097"/>
      <c r="BB115" s="1097"/>
      <c r="BC115" s="1097"/>
      <c r="BD115" s="1097"/>
      <c r="BE115" s="1097"/>
      <c r="BF115" s="1097"/>
      <c r="BG115" s="1097"/>
      <c r="BH115" s="1097"/>
      <c r="BI115" s="1097"/>
      <c r="BJ115" s="1097"/>
      <c r="BK115" s="1097"/>
      <c r="BL115" s="1097"/>
      <c r="BM115" s="1097"/>
      <c r="BN115" s="1097"/>
      <c r="BO115" s="1097"/>
      <c r="BP115" s="1097"/>
      <c r="BQ115" s="1097"/>
      <c r="BR115" s="1097"/>
      <c r="BS115" s="1097"/>
      <c r="BT115" s="1097"/>
      <c r="BU115" s="1097"/>
      <c r="BV115" s="1097"/>
      <c r="BW115" s="1097"/>
      <c r="BX115" s="1097"/>
      <c r="BY115" s="1097"/>
      <c r="BZ115" s="1097"/>
      <c r="CA115" s="1097"/>
      <c r="CB115" s="1097"/>
      <c r="CC115" s="1097"/>
      <c r="CD115" s="1097"/>
      <c r="CE115" s="1097"/>
      <c r="CF115" s="1097"/>
      <c r="CG115" s="1097"/>
      <c r="CH115" s="1097"/>
      <c r="CI115" s="1097"/>
      <c r="CJ115" s="1097"/>
      <c r="CK115" s="1097"/>
      <c r="CL115" s="1097"/>
      <c r="CM115" s="1097"/>
      <c r="CN115" s="1097"/>
      <c r="CO115" s="1097"/>
      <c r="CP115" s="1097"/>
      <c r="CQ115" s="1097"/>
      <c r="CR115" s="1097"/>
      <c r="CS115" s="1097"/>
      <c r="CT115" s="1097"/>
      <c r="CU115" s="1097"/>
      <c r="CV115" s="1097"/>
      <c r="CW115" s="1097"/>
      <c r="CX115" s="1097"/>
      <c r="CY115" s="1097"/>
      <c r="CZ115" s="1097"/>
      <c r="DA115" s="1097"/>
      <c r="DB115" s="1097"/>
      <c r="DC115" s="1097"/>
      <c r="DD115" s="1097"/>
      <c r="DE115" s="1097"/>
      <c r="DF115" s="1097"/>
      <c r="DG115" s="1097"/>
      <c r="DH115" s="1097"/>
      <c r="DI115" s="1097"/>
      <c r="DJ115" s="1097"/>
      <c r="DK115" s="1097"/>
      <c r="DL115" s="1097"/>
      <c r="DM115" s="1097"/>
      <c r="DN115" s="1097"/>
      <c r="DO115" s="1097"/>
      <c r="DP115" s="1097"/>
      <c r="DQ115" s="1097"/>
      <c r="DR115" s="1097"/>
      <c r="DS115" s="1097"/>
      <c r="DT115" s="1097"/>
      <c r="DU115" s="1097"/>
      <c r="DV115" s="1097"/>
      <c r="DW115" s="1097"/>
      <c r="DX115" s="1097"/>
      <c r="DY115" s="1097"/>
      <c r="DZ115" s="1097"/>
      <c r="EA115" s="1097"/>
      <c r="EB115" s="1097"/>
      <c r="EC115" s="1097"/>
      <c r="ED115" s="1097"/>
      <c r="EE115" s="1097"/>
      <c r="EF115" s="1097"/>
      <c r="EG115" s="1097"/>
      <c r="EH115" s="1097"/>
      <c r="EI115" s="1097"/>
      <c r="EJ115" s="1097"/>
      <c r="EK115" s="1097"/>
      <c r="EL115" s="1097"/>
      <c r="EM115" s="1097"/>
      <c r="EN115" s="1097"/>
      <c r="EO115" s="1097"/>
      <c r="EP115" s="1097"/>
      <c r="EQ115" s="1097"/>
      <c r="ER115" s="1097"/>
      <c r="ES115" s="1097"/>
      <c r="ET115" s="1097"/>
      <c r="EU115" s="1097"/>
      <c r="EV115" s="1097"/>
      <c r="EW115" s="1097"/>
      <c r="EX115" s="1097"/>
      <c r="EY115" s="1097"/>
      <c r="EZ115" s="1097"/>
      <c r="FA115" s="1097"/>
      <c r="FB115" s="1097"/>
      <c r="FC115" s="1097"/>
      <c r="FD115" s="1097"/>
      <c r="FE115" s="1097"/>
      <c r="FF115" s="1097"/>
      <c r="FG115" s="1097"/>
      <c r="FH115" s="1097"/>
      <c r="FI115" s="1097"/>
      <c r="FJ115" s="1097"/>
      <c r="FK115" s="1097"/>
      <c r="FL115" s="1097"/>
      <c r="FM115" s="1097"/>
      <c r="FN115" s="1097"/>
      <c r="FO115" s="1097"/>
      <c r="FP115" s="1097"/>
      <c r="FQ115" s="1097"/>
      <c r="FR115" s="1097"/>
      <c r="FS115" s="1097"/>
      <c r="FT115" s="1097"/>
      <c r="FU115" s="1097"/>
      <c r="FV115" s="1097"/>
      <c r="FW115" s="1097"/>
      <c r="FX115" s="1097"/>
      <c r="FY115" s="1097"/>
      <c r="FZ115" s="1097"/>
      <c r="GA115" s="1097"/>
      <c r="GB115" s="1097"/>
      <c r="GC115" s="1097"/>
      <c r="GD115" s="1097"/>
      <c r="GE115" s="1097"/>
      <c r="GF115" s="1097"/>
      <c r="GG115" s="1097"/>
      <c r="GH115" s="1097"/>
      <c r="GI115" s="1097"/>
      <c r="GJ115" s="1097"/>
      <c r="GK115" s="1097"/>
      <c r="GL115" s="1097"/>
      <c r="GM115" s="1097"/>
      <c r="GN115" s="1097"/>
      <c r="GO115" s="1097"/>
      <c r="GP115" s="1097"/>
      <c r="GQ115" s="1097"/>
      <c r="GR115" s="1097"/>
      <c r="GS115" s="1097"/>
      <c r="GT115" s="1097"/>
      <c r="GU115" s="1097"/>
      <c r="GV115" s="1097"/>
      <c r="GW115" s="1097"/>
      <c r="GX115" s="1097"/>
      <c r="GY115" s="1097"/>
      <c r="GZ115" s="1097"/>
      <c r="HA115" s="1097"/>
      <c r="HB115" s="1097"/>
      <c r="HC115" s="1097"/>
      <c r="HD115" s="1097"/>
      <c r="HE115" s="1097"/>
      <c r="HF115" s="1097"/>
      <c r="HG115" s="1097"/>
      <c r="HH115" s="1097"/>
      <c r="HI115" s="1097"/>
      <c r="HJ115" s="1097"/>
      <c r="HK115" s="1097"/>
      <c r="HL115" s="1097"/>
      <c r="HM115" s="1097"/>
      <c r="HN115" s="1097"/>
      <c r="HO115" s="1097"/>
      <c r="HP115" s="1097"/>
      <c r="HQ115" s="1097"/>
      <c r="HR115" s="1097"/>
      <c r="HS115" s="1097"/>
      <c r="HT115" s="1097"/>
      <c r="HU115" s="1097"/>
      <c r="HV115" s="1097"/>
      <c r="HW115" s="1097"/>
      <c r="HX115" s="1097"/>
      <c r="HY115" s="1097"/>
      <c r="HZ115" s="1097"/>
      <c r="IA115" s="1097"/>
      <c r="IB115" s="1097"/>
      <c r="IC115" s="1097"/>
      <c r="ID115" s="1097"/>
      <c r="IE115" s="1097"/>
      <c r="IF115" s="1097"/>
      <c r="IG115" s="1097"/>
      <c r="IH115" s="1097"/>
      <c r="II115" s="1097"/>
      <c r="IJ115" s="1097"/>
      <c r="IK115" s="1097"/>
      <c r="IL115" s="1097"/>
      <c r="IM115" s="1097"/>
      <c r="IN115" s="1097"/>
      <c r="IO115" s="1097"/>
      <c r="IP115" s="1097"/>
      <c r="IQ115" s="1097"/>
      <c r="IR115" s="1097"/>
      <c r="IS115" s="1097"/>
      <c r="IT115" s="1097"/>
      <c r="IU115" s="1097"/>
      <c r="IV115" s="1097"/>
    </row>
    <row r="116" spans="1:256" s="1098" customFormat="1" ht="38.25" customHeight="1">
      <c r="A116" s="2659" t="s">
        <v>495</v>
      </c>
      <c r="B116" s="2660" t="s">
        <v>496</v>
      </c>
      <c r="C116" s="2660" t="s">
        <v>496</v>
      </c>
      <c r="D116" s="2660" t="s">
        <v>496</v>
      </c>
      <c r="E116" s="2660" t="s">
        <v>496</v>
      </c>
      <c r="F116" s="2660" t="s">
        <v>496</v>
      </c>
      <c r="G116" s="2660" t="s">
        <v>496</v>
      </c>
      <c r="H116" s="2660" t="s">
        <v>496</v>
      </c>
      <c r="I116"/>
      <c r="J116"/>
      <c r="K116"/>
      <c r="L116"/>
      <c r="M116"/>
      <c r="N116"/>
      <c r="O116"/>
      <c r="P116"/>
      <c r="Q116"/>
      <c r="R116"/>
      <c r="S116"/>
      <c r="T116"/>
      <c r="U116"/>
      <c r="V116"/>
      <c r="W116"/>
      <c r="X116"/>
      <c r="Y116"/>
      <c r="Z116"/>
      <c r="AA116" s="1097"/>
      <c r="AB116" s="1097"/>
      <c r="AC116" s="1097"/>
      <c r="AD116" s="1097"/>
      <c r="AE116" s="1097"/>
      <c r="AF116" s="1097"/>
      <c r="AG116" s="1097"/>
      <c r="AH116" s="1097"/>
      <c r="AI116" s="1097"/>
      <c r="AJ116" s="1097"/>
      <c r="AK116" s="1097"/>
      <c r="AL116" s="1097"/>
      <c r="AM116" s="1097"/>
      <c r="AN116" s="1097"/>
      <c r="AO116" s="1097"/>
      <c r="AP116" s="1097"/>
      <c r="AQ116" s="1097"/>
      <c r="AR116" s="1097"/>
      <c r="AS116" s="1097"/>
      <c r="AT116" s="1097"/>
      <c r="AU116" s="1097"/>
      <c r="AV116" s="1097"/>
      <c r="AW116" s="1097"/>
      <c r="AX116" s="1097"/>
      <c r="AY116" s="1097"/>
      <c r="AZ116" s="1097"/>
      <c r="BA116" s="1097"/>
      <c r="BB116" s="1097"/>
      <c r="BC116" s="1097"/>
      <c r="BD116" s="1097"/>
      <c r="BE116" s="1097"/>
      <c r="BF116" s="1097"/>
      <c r="BG116" s="1097"/>
      <c r="BH116" s="1097"/>
      <c r="BI116" s="1097"/>
      <c r="BJ116" s="1097"/>
      <c r="BK116" s="1097"/>
      <c r="BL116" s="1097"/>
      <c r="BM116" s="1097"/>
      <c r="BN116" s="1097"/>
      <c r="BO116" s="1097"/>
      <c r="BP116" s="1097"/>
      <c r="BQ116" s="1097"/>
      <c r="BR116" s="1097"/>
      <c r="BS116" s="1097"/>
      <c r="BT116" s="1097"/>
      <c r="BU116" s="1097"/>
      <c r="BV116" s="1097"/>
      <c r="BW116" s="1097"/>
      <c r="BX116" s="1097"/>
      <c r="BY116" s="1097"/>
      <c r="BZ116" s="1097"/>
      <c r="CA116" s="1097"/>
      <c r="CB116" s="1097"/>
      <c r="CC116" s="1097"/>
      <c r="CD116" s="1097"/>
      <c r="CE116" s="1097"/>
      <c r="CF116" s="1097"/>
      <c r="CG116" s="1097"/>
      <c r="CH116" s="1097"/>
      <c r="CI116" s="1097"/>
      <c r="CJ116" s="1097"/>
      <c r="CK116" s="1097"/>
      <c r="CL116" s="1097"/>
      <c r="CM116" s="1097"/>
      <c r="CN116" s="1097"/>
      <c r="CO116" s="1097"/>
      <c r="CP116" s="1097"/>
      <c r="CQ116" s="1097"/>
      <c r="CR116" s="1097"/>
      <c r="CS116" s="1097"/>
      <c r="CT116" s="1097"/>
      <c r="CU116" s="1097"/>
      <c r="CV116" s="1097"/>
      <c r="CW116" s="1097"/>
      <c r="CX116" s="1097"/>
      <c r="CY116" s="1097"/>
      <c r="CZ116" s="1097"/>
      <c r="DA116" s="1097"/>
      <c r="DB116" s="1097"/>
      <c r="DC116" s="1097"/>
      <c r="DD116" s="1097"/>
      <c r="DE116" s="1097"/>
      <c r="DF116" s="1097"/>
      <c r="DG116" s="1097"/>
      <c r="DH116" s="1097"/>
      <c r="DI116" s="1097"/>
      <c r="DJ116" s="1097"/>
      <c r="DK116" s="1097"/>
      <c r="DL116" s="1097"/>
      <c r="DM116" s="1097"/>
      <c r="DN116" s="1097"/>
      <c r="DO116" s="1097"/>
      <c r="DP116" s="1097"/>
      <c r="DQ116" s="1097"/>
      <c r="DR116" s="1097"/>
      <c r="DS116" s="1097"/>
      <c r="DT116" s="1097"/>
      <c r="DU116" s="1097"/>
      <c r="DV116" s="1097"/>
      <c r="DW116" s="1097"/>
      <c r="DX116" s="1097"/>
      <c r="DY116" s="1097"/>
      <c r="DZ116" s="1097"/>
      <c r="EA116" s="1097"/>
      <c r="EB116" s="1097"/>
      <c r="EC116" s="1097"/>
      <c r="ED116" s="1097"/>
      <c r="EE116" s="1097"/>
      <c r="EF116" s="1097"/>
      <c r="EG116" s="1097"/>
      <c r="EH116" s="1097"/>
      <c r="EI116" s="1097"/>
      <c r="EJ116" s="1097"/>
      <c r="EK116" s="1097"/>
      <c r="EL116" s="1097"/>
      <c r="EM116" s="1097"/>
      <c r="EN116" s="1097"/>
      <c r="EO116" s="1097"/>
      <c r="EP116" s="1097"/>
      <c r="EQ116" s="1097"/>
      <c r="ER116" s="1097"/>
      <c r="ES116" s="1097"/>
      <c r="ET116" s="1097"/>
      <c r="EU116" s="1097"/>
      <c r="EV116" s="1097"/>
      <c r="EW116" s="1097"/>
      <c r="EX116" s="1097"/>
      <c r="EY116" s="1097"/>
      <c r="EZ116" s="1097"/>
      <c r="FA116" s="1097"/>
      <c r="FB116" s="1097"/>
      <c r="FC116" s="1097"/>
      <c r="FD116" s="1097"/>
      <c r="FE116" s="1097"/>
      <c r="FF116" s="1097"/>
      <c r="FG116" s="1097"/>
      <c r="FH116" s="1097"/>
      <c r="FI116" s="1097"/>
      <c r="FJ116" s="1097"/>
      <c r="FK116" s="1097"/>
      <c r="FL116" s="1097"/>
      <c r="FM116" s="1097"/>
      <c r="FN116" s="1097"/>
      <c r="FO116" s="1097"/>
      <c r="FP116" s="1097"/>
      <c r="FQ116" s="1097"/>
      <c r="FR116" s="1097"/>
      <c r="FS116" s="1097"/>
      <c r="FT116" s="1097"/>
      <c r="FU116" s="1097"/>
      <c r="FV116" s="1097"/>
      <c r="FW116" s="1097"/>
      <c r="FX116" s="1097"/>
      <c r="FY116" s="1097"/>
      <c r="FZ116" s="1097"/>
      <c r="GA116" s="1097"/>
      <c r="GB116" s="1097"/>
      <c r="GC116" s="1097"/>
      <c r="GD116" s="1097"/>
      <c r="GE116" s="1097"/>
      <c r="GF116" s="1097"/>
      <c r="GG116" s="1097"/>
      <c r="GH116" s="1097"/>
      <c r="GI116" s="1097"/>
      <c r="GJ116" s="1097"/>
      <c r="GK116" s="1097"/>
      <c r="GL116" s="1097"/>
      <c r="GM116" s="1097"/>
      <c r="GN116" s="1097"/>
      <c r="GO116" s="1097"/>
      <c r="GP116" s="1097"/>
      <c r="GQ116" s="1097"/>
      <c r="GR116" s="1097"/>
      <c r="GS116" s="1097"/>
      <c r="GT116" s="1097"/>
      <c r="GU116" s="1097"/>
      <c r="GV116" s="1097"/>
      <c r="GW116" s="1097"/>
      <c r="GX116" s="1097"/>
      <c r="GY116" s="1097"/>
      <c r="GZ116" s="1097"/>
      <c r="HA116" s="1097"/>
      <c r="HB116" s="1097"/>
      <c r="HC116" s="1097"/>
      <c r="HD116" s="1097"/>
      <c r="HE116" s="1097"/>
      <c r="HF116" s="1097"/>
      <c r="HG116" s="1097"/>
      <c r="HH116" s="1097"/>
      <c r="HI116" s="1097"/>
      <c r="HJ116" s="1097"/>
      <c r="HK116" s="1097"/>
      <c r="HL116" s="1097"/>
      <c r="HM116" s="1097"/>
      <c r="HN116" s="1097"/>
      <c r="HO116" s="1097"/>
      <c r="HP116" s="1097"/>
      <c r="HQ116" s="1097"/>
      <c r="HR116" s="1097"/>
      <c r="HS116" s="1097"/>
      <c r="HT116" s="1097"/>
      <c r="HU116" s="1097"/>
      <c r="HV116" s="1097"/>
      <c r="HW116" s="1097"/>
      <c r="HX116" s="1097"/>
      <c r="HY116" s="1097"/>
      <c r="HZ116" s="1097"/>
      <c r="IA116" s="1097"/>
      <c r="IB116" s="1097"/>
      <c r="IC116" s="1097"/>
      <c r="ID116" s="1097"/>
      <c r="IE116" s="1097"/>
      <c r="IF116" s="1097"/>
      <c r="IG116" s="1097"/>
      <c r="IH116" s="1097"/>
      <c r="II116" s="1097"/>
      <c r="IJ116" s="1097"/>
      <c r="IK116" s="1097"/>
      <c r="IL116" s="1097"/>
      <c r="IM116" s="1097"/>
      <c r="IN116" s="1097"/>
      <c r="IO116" s="1097"/>
      <c r="IP116" s="1097"/>
      <c r="IQ116" s="1097"/>
      <c r="IR116" s="1097"/>
      <c r="IS116" s="1097"/>
      <c r="IT116" s="1097"/>
      <c r="IU116" s="1097"/>
      <c r="IV116" s="1097"/>
    </row>
    <row r="118" spans="1:256" s="1093" customFormat="1">
      <c r="A118" s="1135" t="s">
        <v>497</v>
      </c>
      <c r="B118" s="1097"/>
      <c r="C118" s="1097"/>
      <c r="D118" s="1097"/>
      <c r="E118" s="1097"/>
      <c r="F118" s="1097"/>
      <c r="G118" s="1097"/>
      <c r="H118" s="1097"/>
      <c r="I118"/>
      <c r="J118"/>
      <c r="K118"/>
      <c r="L118"/>
      <c r="M118"/>
      <c r="N118"/>
      <c r="O118"/>
      <c r="P118"/>
      <c r="Q118"/>
      <c r="R118"/>
      <c r="S118"/>
      <c r="T118"/>
      <c r="U118"/>
      <c r="V118"/>
      <c r="W118"/>
      <c r="X118"/>
      <c r="Y118"/>
      <c r="Z118"/>
    </row>
    <row r="119" spans="1:256" s="1137" customFormat="1" ht="25.5" customHeight="1">
      <c r="A119" s="2661" t="s">
        <v>63</v>
      </c>
      <c r="B119" s="2661" t="s">
        <v>64</v>
      </c>
      <c r="C119" s="2661" t="s">
        <v>64</v>
      </c>
      <c r="D119" s="2661" t="s">
        <v>64</v>
      </c>
      <c r="E119" s="2661" t="s">
        <v>64</v>
      </c>
      <c r="F119" s="2661" t="s">
        <v>64</v>
      </c>
      <c r="G119" s="2661" t="s">
        <v>64</v>
      </c>
      <c r="H119" s="2661" t="s">
        <v>64</v>
      </c>
      <c r="I119"/>
      <c r="J119"/>
      <c r="K119"/>
      <c r="L119"/>
      <c r="M119"/>
      <c r="N119"/>
      <c r="O119"/>
      <c r="P119"/>
      <c r="Q119"/>
      <c r="R119"/>
      <c r="S119"/>
      <c r="T119"/>
      <c r="U119"/>
      <c r="V119"/>
      <c r="W119"/>
      <c r="X119"/>
      <c r="Y119"/>
      <c r="Z119"/>
      <c r="AA119" s="1136"/>
      <c r="AB119" s="1136"/>
      <c r="AC119" s="1136"/>
      <c r="AD119" s="1136"/>
      <c r="AE119" s="1136"/>
      <c r="AF119" s="1136"/>
      <c r="AG119" s="1136"/>
      <c r="AH119" s="1136"/>
      <c r="AI119" s="1136"/>
      <c r="AJ119" s="1136"/>
      <c r="AK119" s="1136"/>
      <c r="AL119" s="1136"/>
      <c r="AM119" s="1136"/>
      <c r="AN119" s="1136"/>
      <c r="AO119" s="1136"/>
      <c r="AP119" s="1136"/>
      <c r="AQ119" s="1136"/>
      <c r="AR119" s="1136"/>
      <c r="AS119" s="1136"/>
      <c r="AT119" s="1136"/>
      <c r="AU119" s="1136"/>
      <c r="AV119" s="1136"/>
      <c r="AW119" s="1136"/>
      <c r="AX119" s="1136"/>
      <c r="AY119" s="1136"/>
      <c r="AZ119" s="1136"/>
      <c r="BA119" s="1136"/>
      <c r="BB119" s="1136"/>
      <c r="BC119" s="1136"/>
      <c r="BD119" s="1136"/>
      <c r="BE119" s="1136"/>
      <c r="BF119" s="1136"/>
      <c r="BG119" s="1136"/>
      <c r="BH119" s="1136"/>
      <c r="BI119" s="1136"/>
      <c r="BJ119" s="1136"/>
      <c r="BK119" s="1136"/>
      <c r="BL119" s="1136"/>
      <c r="BM119" s="1136"/>
      <c r="BN119" s="1136"/>
      <c r="BO119" s="1136"/>
      <c r="BP119" s="1136"/>
      <c r="BQ119" s="1136"/>
      <c r="BR119" s="1136"/>
      <c r="BS119" s="1136"/>
      <c r="BT119" s="1136"/>
      <c r="BU119" s="1136"/>
      <c r="BV119" s="1136"/>
      <c r="BW119" s="1136"/>
      <c r="BX119" s="1136"/>
      <c r="BY119" s="1136"/>
      <c r="BZ119" s="1136"/>
      <c r="CA119" s="1136"/>
      <c r="CB119" s="1136"/>
      <c r="CC119" s="1136"/>
      <c r="CD119" s="1136"/>
      <c r="CE119" s="1136"/>
      <c r="CF119" s="1136"/>
      <c r="CG119" s="1136"/>
      <c r="CH119" s="1136"/>
      <c r="CI119" s="1136"/>
      <c r="CJ119" s="1136"/>
      <c r="CK119" s="1136"/>
      <c r="CL119" s="1136"/>
      <c r="CM119" s="1136"/>
      <c r="CN119" s="1136"/>
      <c r="CO119" s="1136"/>
      <c r="CP119" s="1136"/>
      <c r="CQ119" s="1136"/>
      <c r="CR119" s="1136"/>
      <c r="CS119" s="1136"/>
      <c r="CT119" s="1136"/>
      <c r="CU119" s="1136"/>
      <c r="CV119" s="1136"/>
      <c r="CW119" s="1136"/>
      <c r="CX119" s="1136"/>
      <c r="CY119" s="1136"/>
      <c r="CZ119" s="1136"/>
      <c r="DA119" s="1136"/>
      <c r="DB119" s="1136"/>
      <c r="DC119" s="1136"/>
      <c r="DD119" s="1136"/>
      <c r="DE119" s="1136"/>
      <c r="DF119" s="1136"/>
      <c r="DG119" s="1136"/>
      <c r="DH119" s="1136"/>
      <c r="DI119" s="1136"/>
      <c r="DJ119" s="1136"/>
      <c r="DK119" s="1136"/>
      <c r="DL119" s="1136"/>
      <c r="DM119" s="1136"/>
      <c r="DN119" s="1136"/>
      <c r="DO119" s="1136"/>
      <c r="DP119" s="1136"/>
      <c r="DQ119" s="1136"/>
      <c r="DR119" s="1136"/>
      <c r="DS119" s="1136"/>
      <c r="DT119" s="1136"/>
      <c r="DU119" s="1136"/>
      <c r="DV119" s="1136"/>
      <c r="DW119" s="1136"/>
      <c r="DX119" s="1136"/>
      <c r="DY119" s="1136"/>
      <c r="DZ119" s="1136"/>
      <c r="EA119" s="1136"/>
      <c r="EB119" s="1136"/>
      <c r="EC119" s="1136"/>
      <c r="ED119" s="1136"/>
      <c r="EE119" s="1136"/>
      <c r="EF119" s="1136"/>
      <c r="EG119" s="1136"/>
      <c r="EH119" s="1136"/>
      <c r="EI119" s="1136"/>
      <c r="EJ119" s="1136"/>
      <c r="EK119" s="1136"/>
      <c r="EL119" s="1136"/>
      <c r="EM119" s="1136"/>
      <c r="EN119" s="1136"/>
      <c r="EO119" s="1136"/>
      <c r="EP119" s="1136"/>
      <c r="EQ119" s="1136"/>
      <c r="ER119" s="1136"/>
      <c r="ES119" s="1136"/>
      <c r="ET119" s="1136"/>
      <c r="EU119" s="1136"/>
      <c r="EV119" s="1136"/>
      <c r="EW119" s="1136"/>
      <c r="EX119" s="1136"/>
      <c r="EY119" s="1136"/>
      <c r="EZ119" s="1136"/>
      <c r="FA119" s="1136"/>
      <c r="FB119" s="1136"/>
      <c r="FC119" s="1136"/>
      <c r="FD119" s="1136"/>
      <c r="FE119" s="1136"/>
      <c r="FF119" s="1136"/>
      <c r="FG119" s="1136"/>
      <c r="FH119" s="1136"/>
      <c r="FI119" s="1136"/>
      <c r="FJ119" s="1136"/>
      <c r="FK119" s="1136"/>
      <c r="FL119" s="1136"/>
      <c r="FM119" s="1136"/>
      <c r="FN119" s="1136"/>
      <c r="FO119" s="1136"/>
      <c r="FP119" s="1136"/>
      <c r="FQ119" s="1136"/>
      <c r="FR119" s="1136"/>
      <c r="FS119" s="1136"/>
      <c r="FT119" s="1136"/>
      <c r="FU119" s="1136"/>
      <c r="FV119" s="1136"/>
      <c r="FW119" s="1136"/>
      <c r="FX119" s="1136"/>
      <c r="FY119" s="1136"/>
      <c r="FZ119" s="1136"/>
      <c r="GA119" s="1136"/>
      <c r="GB119" s="1136"/>
      <c r="GC119" s="1136"/>
      <c r="GD119" s="1136"/>
      <c r="GE119" s="1136"/>
      <c r="GF119" s="1136"/>
      <c r="GG119" s="1136"/>
      <c r="GH119" s="1136"/>
      <c r="GI119" s="1136"/>
      <c r="GJ119" s="1136"/>
      <c r="GK119" s="1136"/>
      <c r="GL119" s="1136"/>
      <c r="GM119" s="1136"/>
      <c r="GN119" s="1136"/>
      <c r="GO119" s="1136"/>
      <c r="GP119" s="1136"/>
      <c r="GQ119" s="1136"/>
      <c r="GR119" s="1136"/>
      <c r="GS119" s="1136"/>
      <c r="GT119" s="1136"/>
      <c r="GU119" s="1136"/>
      <c r="GV119" s="1136"/>
      <c r="GW119" s="1136"/>
      <c r="GX119" s="1136"/>
      <c r="GY119" s="1136"/>
      <c r="GZ119" s="1136"/>
      <c r="HA119" s="1136"/>
      <c r="HB119" s="1136"/>
      <c r="HC119" s="1136"/>
      <c r="HD119" s="1136"/>
      <c r="HE119" s="1136"/>
      <c r="HF119" s="1136"/>
      <c r="HG119" s="1136"/>
      <c r="HH119" s="1136"/>
      <c r="HI119" s="1136"/>
      <c r="HJ119" s="1136"/>
      <c r="HK119" s="1136"/>
      <c r="HL119" s="1136"/>
      <c r="HM119" s="1136"/>
      <c r="HN119" s="1136"/>
      <c r="HO119" s="1136"/>
      <c r="HP119" s="1136"/>
      <c r="HQ119" s="1136"/>
      <c r="HR119" s="1136"/>
      <c r="HS119" s="1136"/>
      <c r="HT119" s="1136"/>
      <c r="HU119" s="1136"/>
      <c r="HV119" s="1136"/>
      <c r="HW119" s="1136"/>
      <c r="HX119" s="1136"/>
      <c r="HY119" s="1136"/>
      <c r="HZ119" s="1136"/>
      <c r="IA119" s="1136"/>
      <c r="IB119" s="1136"/>
      <c r="IC119" s="1136"/>
      <c r="ID119" s="1136"/>
      <c r="IE119" s="1136"/>
      <c r="IF119" s="1136"/>
      <c r="IG119" s="1136"/>
      <c r="IH119" s="1136"/>
      <c r="II119" s="1136"/>
      <c r="IJ119" s="1136"/>
      <c r="IK119" s="1136"/>
      <c r="IL119" s="1136"/>
      <c r="IM119" s="1136"/>
      <c r="IN119" s="1136"/>
      <c r="IO119" s="1136"/>
      <c r="IP119" s="1136"/>
      <c r="IQ119" s="1136"/>
      <c r="IR119" s="1136"/>
      <c r="IS119" s="1136"/>
      <c r="IT119" s="1136"/>
      <c r="IU119" s="1136"/>
      <c r="IV119" s="1136"/>
    </row>
    <row r="120" spans="1:256" s="1093" customFormat="1" ht="127.5" customHeight="1">
      <c r="A120" s="2662" t="s">
        <v>289</v>
      </c>
      <c r="B120" s="2662" t="s">
        <v>290</v>
      </c>
      <c r="C120" s="2662" t="s">
        <v>290</v>
      </c>
      <c r="D120" s="2662" t="s">
        <v>290</v>
      </c>
      <c r="E120" s="2662" t="s">
        <v>290</v>
      </c>
      <c r="F120" s="2662" t="s">
        <v>290</v>
      </c>
      <c r="G120" s="2662" t="s">
        <v>290</v>
      </c>
      <c r="H120" s="2662" t="s">
        <v>290</v>
      </c>
      <c r="I120"/>
      <c r="J120"/>
      <c r="K120"/>
      <c r="L120"/>
      <c r="M120"/>
      <c r="N120"/>
      <c r="O120"/>
      <c r="P120"/>
      <c r="Q120"/>
      <c r="R120"/>
      <c r="S120"/>
      <c r="T120"/>
      <c r="U120"/>
      <c r="V120"/>
      <c r="W120"/>
      <c r="X120"/>
      <c r="Y120"/>
      <c r="Z120"/>
    </row>
    <row r="121" spans="1:256" s="1093" customFormat="1" ht="38.25" customHeight="1">
      <c r="A121" s="2663" t="s">
        <v>774</v>
      </c>
      <c r="B121" s="2663"/>
      <c r="C121" s="2663"/>
      <c r="D121" s="2663"/>
      <c r="E121" s="2663"/>
      <c r="F121" s="2663"/>
      <c r="G121" s="2663"/>
      <c r="H121" s="2663"/>
      <c r="I121"/>
      <c r="J121"/>
      <c r="K121"/>
      <c r="L121"/>
      <c r="M121"/>
      <c r="N121"/>
      <c r="O121"/>
      <c r="P121"/>
      <c r="Q121"/>
      <c r="R121"/>
      <c r="S121"/>
      <c r="T121"/>
      <c r="U121"/>
      <c r="V121"/>
      <c r="W121"/>
      <c r="X121"/>
      <c r="Y121"/>
      <c r="Z121"/>
    </row>
    <row r="123" spans="1:256" s="1093" customFormat="1" ht="30.75" customHeight="1">
      <c r="A123" s="2661" t="s">
        <v>775</v>
      </c>
      <c r="B123" s="2661" t="s">
        <v>776</v>
      </c>
      <c r="C123" s="2661" t="s">
        <v>776</v>
      </c>
      <c r="D123" s="2661" t="s">
        <v>776</v>
      </c>
      <c r="E123" s="2661" t="s">
        <v>776</v>
      </c>
      <c r="F123" s="2661" t="s">
        <v>776</v>
      </c>
      <c r="G123" s="2661" t="s">
        <v>776</v>
      </c>
      <c r="H123" s="2661" t="s">
        <v>776</v>
      </c>
      <c r="I123"/>
      <c r="J123"/>
      <c r="K123"/>
      <c r="L123"/>
      <c r="M123"/>
      <c r="N123"/>
      <c r="O123"/>
      <c r="P123"/>
      <c r="Q123"/>
      <c r="R123"/>
      <c r="S123"/>
      <c r="T123"/>
      <c r="U123"/>
      <c r="V123"/>
      <c r="W123"/>
      <c r="X123"/>
      <c r="Y123"/>
      <c r="Z123"/>
    </row>
    <row r="124" spans="1:256" s="1093" customFormat="1" ht="76.5" customHeight="1">
      <c r="A124" s="2656" t="s">
        <v>777</v>
      </c>
      <c r="B124" s="2656" t="s">
        <v>777</v>
      </c>
      <c r="C124" s="2656" t="s">
        <v>777</v>
      </c>
      <c r="D124" s="2656" t="s">
        <v>777</v>
      </c>
      <c r="E124" s="2656" t="s">
        <v>777</v>
      </c>
      <c r="F124" s="2656" t="s">
        <v>777</v>
      </c>
      <c r="G124" s="2656" t="s">
        <v>777</v>
      </c>
      <c r="H124" s="2656" t="s">
        <v>777</v>
      </c>
      <c r="I124"/>
      <c r="J124"/>
      <c r="K124"/>
      <c r="L124"/>
      <c r="M124"/>
      <c r="N124"/>
      <c r="O124"/>
      <c r="P124"/>
      <c r="Q124"/>
      <c r="R124"/>
      <c r="S124"/>
      <c r="T124"/>
      <c r="U124"/>
      <c r="V124"/>
      <c r="W124"/>
      <c r="X124"/>
      <c r="Y124"/>
      <c r="Z124"/>
    </row>
  </sheetData>
  <sheetProtection algorithmName="SHA-512" hashValue="PvbrJvBDtM63JMbnEULa16DmRUiiShmiLwoXWe4Y8qH771MstcTQAYchK+u9DU6IL1M4hFsf5VsO2mTVO9rYSQ==" saltValue="LfoHrIW6iAOpC/tAczi1hQ==" spinCount="100000" sheet="1" objects="1" scenarios="1"/>
  <mergeCells count="72">
    <mergeCell ref="A21:H21"/>
    <mergeCell ref="A7:H7"/>
    <mergeCell ref="A9:H9"/>
    <mergeCell ref="A15:H15"/>
    <mergeCell ref="A16:H16"/>
    <mergeCell ref="D1:E1"/>
    <mergeCell ref="A3:H3"/>
    <mergeCell ref="A5:H5"/>
    <mergeCell ref="A6:H6"/>
    <mergeCell ref="A20:H20"/>
    <mergeCell ref="A18:H18"/>
    <mergeCell ref="A19:H19"/>
    <mergeCell ref="A10:H10"/>
    <mergeCell ref="A11:H11"/>
    <mergeCell ref="A12:H12"/>
    <mergeCell ref="A14:H14"/>
    <mergeCell ref="A30:H30"/>
    <mergeCell ref="A31:H31"/>
    <mergeCell ref="A22:H22"/>
    <mergeCell ref="A23:H23"/>
    <mergeCell ref="A24:H24"/>
    <mergeCell ref="A25:H25"/>
    <mergeCell ref="A27:H27"/>
    <mergeCell ref="A29:H29"/>
    <mergeCell ref="A62:H62"/>
    <mergeCell ref="A63:H63"/>
    <mergeCell ref="A46:H46"/>
    <mergeCell ref="A47:H47"/>
    <mergeCell ref="A39:H39"/>
    <mergeCell ref="A40:H40"/>
    <mergeCell ref="A41:H41"/>
    <mergeCell ref="A42:H42"/>
    <mergeCell ref="A44:H44"/>
    <mergeCell ref="A45:H45"/>
    <mergeCell ref="C71:H71"/>
    <mergeCell ref="C74:H74"/>
    <mergeCell ref="A34:H34"/>
    <mergeCell ref="A35:H35"/>
    <mergeCell ref="A36:H36"/>
    <mergeCell ref="A38:H38"/>
    <mergeCell ref="A48:H48"/>
    <mergeCell ref="A49:H49"/>
    <mergeCell ref="A56:H56"/>
    <mergeCell ref="A57:H57"/>
    <mergeCell ref="A65:H65"/>
    <mergeCell ref="C68:H68"/>
    <mergeCell ref="A51:H51"/>
    <mergeCell ref="A53:H53"/>
    <mergeCell ref="A58:H58"/>
    <mergeCell ref="A59:H59"/>
    <mergeCell ref="A104:H104"/>
    <mergeCell ref="A107:H107"/>
    <mergeCell ref="A86:H86"/>
    <mergeCell ref="A88:H88"/>
    <mergeCell ref="A90:H90"/>
    <mergeCell ref="A93:H93"/>
    <mergeCell ref="A82:B82"/>
    <mergeCell ref="A83:H83"/>
    <mergeCell ref="A97:H97"/>
    <mergeCell ref="A100:H100"/>
    <mergeCell ref="A84:H84"/>
    <mergeCell ref="A85:H85"/>
    <mergeCell ref="A109:H109"/>
    <mergeCell ref="A124:H124"/>
    <mergeCell ref="A112:H112"/>
    <mergeCell ref="A116:H116"/>
    <mergeCell ref="A119:H119"/>
    <mergeCell ref="A120:H120"/>
    <mergeCell ref="A121:H121"/>
    <mergeCell ref="A123:H123"/>
    <mergeCell ref="A110:H110"/>
    <mergeCell ref="A111:H111"/>
  </mergeCell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31" firstPageNumber="0" orientation="portrait" r:id="rId1"/>
  <headerFooter alignWithMargins="0">
    <oddFooter>&amp;LRSU 2020 - Présentation au CTP&amp;R&amp;P/&amp;N
&amp;A</oddFooter>
  </headerFooter>
  <rowBreaks count="2" manualBreakCount="2">
    <brk id="58" max="16383" man="1"/>
    <brk id="102" max="16383" man="1"/>
  </rowBreaks>
</worksheet>
</file>

<file path=xl/worksheets/sheet57.xml><?xml version="1.0" encoding="utf-8"?>
<worksheet xmlns="http://schemas.openxmlformats.org/spreadsheetml/2006/main" xmlns:r="http://schemas.openxmlformats.org/officeDocument/2006/relationships">
  <sheetPr codeName="Feuil49">
    <pageSetUpPr fitToPage="1"/>
  </sheetPr>
  <dimension ref="A1:K93"/>
  <sheetViews>
    <sheetView showGridLines="0" zoomScaleNormal="100" workbookViewId="0"/>
  </sheetViews>
  <sheetFormatPr baseColWidth="10" defaultColWidth="10.85546875" defaultRowHeight="12.75" customHeight="1"/>
  <cols>
    <col min="1" max="1" width="46.42578125" customWidth="1"/>
    <col min="2" max="2" width="21.7109375" customWidth="1"/>
    <col min="3" max="3" width="25.140625" customWidth="1"/>
    <col min="4" max="6" width="21.7109375" customWidth="1"/>
    <col min="7" max="7" width="11.28515625" customWidth="1"/>
    <col min="8" max="8" width="21.7109375" customWidth="1"/>
    <col min="9" max="9" width="16.140625" customWidth="1"/>
    <col min="10" max="10" width="14.28515625" customWidth="1"/>
  </cols>
  <sheetData>
    <row r="1" spans="1:8" ht="17.100000000000001" customHeight="1">
      <c r="D1" s="1073" t="s">
        <v>958</v>
      </c>
    </row>
    <row r="2" spans="1:8" ht="13.5" thickBot="1"/>
    <row r="3" spans="1:8" ht="36" customHeight="1" thickBot="1">
      <c r="A3" s="2277" t="s">
        <v>643</v>
      </c>
      <c r="B3" s="2277"/>
      <c r="C3" s="2277"/>
      <c r="D3" s="2277"/>
      <c r="E3" s="2277"/>
      <c r="F3" s="2277"/>
      <c r="G3" s="2277"/>
      <c r="H3" s="2277"/>
    </row>
    <row r="5" spans="1:8" ht="13.5" thickBot="1"/>
    <row r="6" spans="1:8" ht="13.5" thickBot="1">
      <c r="A6" s="2726" t="s">
        <v>2248</v>
      </c>
      <c r="B6" s="2726"/>
      <c r="C6" s="2726"/>
      <c r="D6" s="2726"/>
      <c r="E6" s="2726"/>
      <c r="F6" s="2726"/>
      <c r="G6" s="2726"/>
      <c r="H6" s="2726"/>
    </row>
    <row r="8" spans="1:8" ht="12.75" customHeight="1">
      <c r="A8" s="2287" t="s">
        <v>2605</v>
      </c>
      <c r="B8" s="2287"/>
      <c r="C8" s="2287"/>
      <c r="D8" s="2287"/>
      <c r="E8" s="2732"/>
      <c r="F8" s="2732"/>
    </row>
    <row r="10" spans="1:8">
      <c r="A10" s="2733" t="s">
        <v>503</v>
      </c>
      <c r="B10" s="2734"/>
      <c r="C10" s="2734"/>
      <c r="D10" s="2734"/>
      <c r="E10" s="2734"/>
      <c r="F10" s="2734"/>
      <c r="G10" s="2735"/>
      <c r="H10" s="619" t="s">
        <v>1123</v>
      </c>
    </row>
    <row r="11" spans="1:8" ht="10.5" customHeight="1"/>
    <row r="12" spans="1:8" ht="32.25" customHeight="1">
      <c r="D12" s="2720" t="s">
        <v>2606</v>
      </c>
      <c r="E12" s="2720"/>
      <c r="F12" s="2720"/>
    </row>
    <row r="13" spans="1:8" ht="15" customHeight="1">
      <c r="D13" s="810" t="s">
        <v>2249</v>
      </c>
      <c r="E13" s="810" t="s">
        <v>708</v>
      </c>
      <c r="F13" s="810" t="s">
        <v>768</v>
      </c>
      <c r="G13" s="1224" t="s">
        <v>264</v>
      </c>
    </row>
    <row r="14" spans="1:8">
      <c r="B14" s="811" t="s">
        <v>1034</v>
      </c>
      <c r="C14" s="812"/>
      <c r="D14" s="813">
        <v>1556</v>
      </c>
      <c r="E14" s="813">
        <v>2124</v>
      </c>
      <c r="F14" s="913">
        <f t="shared" ref="F14:F19" si="0">SUM(D14:E14)</f>
        <v>3680</v>
      </c>
      <c r="G14" s="1224">
        <v>1</v>
      </c>
    </row>
    <row r="15" spans="1:8">
      <c r="B15" s="811" t="s">
        <v>1035</v>
      </c>
      <c r="C15" s="812"/>
      <c r="D15" s="813">
        <v>76</v>
      </c>
      <c r="E15" s="813">
        <v>26</v>
      </c>
      <c r="F15" s="913">
        <f t="shared" si="0"/>
        <v>102</v>
      </c>
      <c r="G15" s="1224">
        <v>2</v>
      </c>
    </row>
    <row r="16" spans="1:8">
      <c r="B16" s="811" t="s">
        <v>1036</v>
      </c>
      <c r="C16" s="812"/>
      <c r="D16" s="813">
        <v>7</v>
      </c>
      <c r="E16" s="813">
        <v>1</v>
      </c>
      <c r="F16" s="913">
        <f t="shared" si="0"/>
        <v>8</v>
      </c>
      <c r="G16" s="1224">
        <v>3</v>
      </c>
    </row>
    <row r="17" spans="1:8">
      <c r="B17" s="811" t="s">
        <v>1037</v>
      </c>
      <c r="C17" s="814"/>
      <c r="D17" s="813">
        <v>111</v>
      </c>
      <c r="E17" s="813">
        <v>1012</v>
      </c>
      <c r="F17" s="914">
        <f t="shared" si="0"/>
        <v>1123</v>
      </c>
      <c r="G17" s="1224">
        <v>4</v>
      </c>
    </row>
    <row r="18" spans="1:8" ht="12.75" customHeight="1">
      <c r="B18" s="811" t="s">
        <v>1038</v>
      </c>
      <c r="C18" s="812"/>
      <c r="D18" s="813">
        <v>2</v>
      </c>
      <c r="E18" s="813">
        <v>1</v>
      </c>
      <c r="F18" s="913">
        <f t="shared" si="0"/>
        <v>3</v>
      </c>
      <c r="G18" s="1224">
        <v>5</v>
      </c>
    </row>
    <row r="19" spans="1:8" ht="12.75" customHeight="1">
      <c r="B19" s="811" t="s">
        <v>2061</v>
      </c>
      <c r="C19" s="815"/>
      <c r="D19" s="813"/>
      <c r="E19" s="813"/>
      <c r="F19" s="915">
        <f t="shared" si="0"/>
        <v>0</v>
      </c>
      <c r="G19" s="1224">
        <v>6</v>
      </c>
    </row>
    <row r="20" spans="1:8" ht="12.75" customHeight="1">
      <c r="B20" s="816" t="s">
        <v>2250</v>
      </c>
      <c r="C20" s="817"/>
      <c r="D20" s="912">
        <f>SUM(D14:D19)</f>
        <v>1752</v>
      </c>
      <c r="E20" s="912">
        <f>SUM(E14:E19)</f>
        <v>3164</v>
      </c>
      <c r="F20" s="912">
        <f>SUM(F14:F19)</f>
        <v>4916</v>
      </c>
      <c r="G20" s="1224">
        <v>0</v>
      </c>
    </row>
    <row r="21" spans="1:8" ht="12.75" customHeight="1">
      <c r="B21" s="2721" t="s">
        <v>1147</v>
      </c>
      <c r="C21" s="2722"/>
      <c r="D21" s="835">
        <v>0</v>
      </c>
      <c r="E21" s="835">
        <v>0</v>
      </c>
      <c r="F21" s="916">
        <f>SUM(D21:E21)</f>
        <v>0</v>
      </c>
      <c r="G21" s="1224">
        <v>7</v>
      </c>
    </row>
    <row r="22" spans="1:8" ht="12.75" customHeight="1">
      <c r="D22" s="1224">
        <v>1</v>
      </c>
      <c r="E22" s="1224">
        <v>2</v>
      </c>
      <c r="F22" s="1224">
        <v>0</v>
      </c>
      <c r="G22" s="1224" t="s">
        <v>1307</v>
      </c>
    </row>
    <row r="23" spans="1:8">
      <c r="B23" s="2731" t="s">
        <v>724</v>
      </c>
      <c r="C23" s="2731"/>
      <c r="F23" s="911">
        <f>'IND 1.1.1'!B376+'IND 1.2.1'!L91</f>
        <v>4916</v>
      </c>
      <c r="G23" s="55"/>
    </row>
    <row r="28" spans="1:8" ht="13.5" thickBot="1"/>
    <row r="29" spans="1:8" ht="13.5" thickBot="1">
      <c r="A29" s="2286" t="s">
        <v>40</v>
      </c>
      <c r="B29" s="2286"/>
      <c r="C29" s="2286"/>
      <c r="D29" s="2286"/>
      <c r="E29" s="2286"/>
      <c r="F29" s="2286"/>
      <c r="G29" s="2286"/>
      <c r="H29" s="2286"/>
    </row>
    <row r="30" spans="1:8" ht="24.75" customHeight="1"/>
    <row r="31" spans="1:8">
      <c r="A31" s="2727" t="s">
        <v>2605</v>
      </c>
      <c r="B31" s="2727"/>
      <c r="C31" s="2727"/>
      <c r="D31" s="2727"/>
      <c r="E31" s="2728"/>
      <c r="F31" s="2729"/>
    </row>
    <row r="34" spans="1:10" ht="26.25" customHeight="1">
      <c r="D34" s="2730" t="s">
        <v>2606</v>
      </c>
      <c r="E34" s="2730"/>
      <c r="F34" s="2730"/>
    </row>
    <row r="35" spans="1:10">
      <c r="D35" s="359" t="s">
        <v>2249</v>
      </c>
      <c r="E35" s="359" t="s">
        <v>708</v>
      </c>
      <c r="F35" s="359" t="s">
        <v>768</v>
      </c>
      <c r="G35" s="1204" t="s">
        <v>41</v>
      </c>
    </row>
    <row r="36" spans="1:10">
      <c r="B36" s="2692" t="s">
        <v>42</v>
      </c>
      <c r="C36" s="2692"/>
      <c r="D36" s="632"/>
      <c r="E36" s="632"/>
      <c r="F36" s="704">
        <f>SUM(D36:E36)</f>
        <v>0</v>
      </c>
      <c r="G36" s="1188">
        <v>1</v>
      </c>
    </row>
    <row r="37" spans="1:10">
      <c r="B37" s="2692" t="s">
        <v>43</v>
      </c>
      <c r="C37" s="2692"/>
      <c r="D37" s="584">
        <v>257</v>
      </c>
      <c r="E37" s="584">
        <v>84</v>
      </c>
      <c r="F37" s="704">
        <f>SUM(D37:E37)</f>
        <v>341</v>
      </c>
      <c r="G37" s="1188">
        <v>2</v>
      </c>
    </row>
    <row r="38" spans="1:10">
      <c r="B38" s="2694" t="s">
        <v>44</v>
      </c>
      <c r="C38" s="2695"/>
      <c r="D38" s="584">
        <v>249</v>
      </c>
      <c r="E38" s="584">
        <v>145</v>
      </c>
      <c r="F38" s="704">
        <f>SUM(D38:E38)</f>
        <v>394</v>
      </c>
      <c r="G38" s="1188">
        <v>3</v>
      </c>
    </row>
    <row r="39" spans="1:10">
      <c r="B39" s="2723" t="s">
        <v>2061</v>
      </c>
      <c r="C39" s="2724"/>
      <c r="D39" s="584"/>
      <c r="E39" s="584"/>
      <c r="F39" s="704">
        <f>SUM(D39:E39)</f>
        <v>0</v>
      </c>
      <c r="G39" s="1189">
        <v>4</v>
      </c>
    </row>
    <row r="40" spans="1:10">
      <c r="D40" s="1224">
        <v>1</v>
      </c>
      <c r="E40" s="1224">
        <v>2</v>
      </c>
      <c r="F40" s="1224">
        <v>0</v>
      </c>
      <c r="G40" s="1224" t="s">
        <v>1307</v>
      </c>
    </row>
    <row r="41" spans="1:10">
      <c r="A41" s="2569" t="s">
        <v>504</v>
      </c>
      <c r="B41" s="2696"/>
      <c r="C41" s="2696"/>
      <c r="D41" s="2696"/>
      <c r="E41" s="2696"/>
      <c r="F41" s="2696"/>
      <c r="G41" s="2697"/>
      <c r="H41" s="619" t="s">
        <v>1124</v>
      </c>
    </row>
    <row r="42" spans="1:10" ht="13.5" thickBot="1"/>
    <row r="43" spans="1:10" ht="13.5" thickBot="1">
      <c r="A43" s="2678" t="s">
        <v>45</v>
      </c>
      <c r="B43" s="2476"/>
      <c r="C43" s="2476"/>
      <c r="D43" s="2476"/>
      <c r="E43" s="2476"/>
      <c r="F43" s="2476"/>
      <c r="G43" s="2476"/>
      <c r="H43" s="2476"/>
      <c r="I43" s="2476"/>
      <c r="J43" s="2476"/>
    </row>
    <row r="44" spans="1:10" ht="15" customHeight="1"/>
    <row r="45" spans="1:10" ht="15" customHeight="1">
      <c r="A45" s="2279" t="s">
        <v>2373</v>
      </c>
      <c r="B45" s="2279"/>
      <c r="C45" s="2279"/>
      <c r="D45" s="2279"/>
      <c r="E45" s="2279"/>
      <c r="F45" s="2279"/>
    </row>
    <row r="46" spans="1:10" ht="19.5" customHeight="1"/>
    <row r="47" spans="1:10" ht="108">
      <c r="A47" s="2698" t="s">
        <v>46</v>
      </c>
      <c r="B47" s="2699"/>
      <c r="C47" s="2693" t="s">
        <v>2374</v>
      </c>
      <c r="D47" s="2693"/>
      <c r="E47" s="2725" t="s">
        <v>2418</v>
      </c>
      <c r="F47" s="2725"/>
      <c r="G47" s="746" t="s">
        <v>2375</v>
      </c>
      <c r="H47" s="747" t="s">
        <v>2418</v>
      </c>
    </row>
    <row r="48" spans="1:10">
      <c r="A48" s="2680"/>
      <c r="B48" s="2681"/>
      <c r="C48" s="229" t="s">
        <v>707</v>
      </c>
      <c r="D48" s="341" t="s">
        <v>708</v>
      </c>
      <c r="E48" s="229" t="s">
        <v>707</v>
      </c>
      <c r="F48" s="84" t="s">
        <v>708</v>
      </c>
      <c r="G48" s="84" t="s">
        <v>768</v>
      </c>
      <c r="H48" s="84" t="s">
        <v>768</v>
      </c>
      <c r="I48" s="1219" t="s">
        <v>1730</v>
      </c>
    </row>
    <row r="49" spans="1:9">
      <c r="A49" s="2682" t="s">
        <v>714</v>
      </c>
      <c r="B49" s="2683"/>
      <c r="C49" s="584">
        <v>121</v>
      </c>
      <c r="D49" s="633">
        <v>239</v>
      </c>
      <c r="E49" s="584">
        <v>5</v>
      </c>
      <c r="F49" s="633">
        <v>15</v>
      </c>
      <c r="G49" s="480">
        <f>SUM(C49:D49)</f>
        <v>360</v>
      </c>
      <c r="H49" s="480">
        <f>SUM(E49:F49)</f>
        <v>20</v>
      </c>
      <c r="I49" s="1215">
        <v>1</v>
      </c>
    </row>
    <row r="50" spans="1:9">
      <c r="A50" s="2682" t="s">
        <v>715</v>
      </c>
      <c r="B50" s="2683"/>
      <c r="C50" s="584">
        <v>189</v>
      </c>
      <c r="D50" s="633">
        <v>201</v>
      </c>
      <c r="E50" s="584">
        <v>9</v>
      </c>
      <c r="F50" s="633">
        <v>13</v>
      </c>
      <c r="G50" s="480">
        <f>SUM(C50:D50)</f>
        <v>390</v>
      </c>
      <c r="H50" s="480">
        <f>SUM(E50:F50)</f>
        <v>22</v>
      </c>
      <c r="I50" s="1215">
        <v>2</v>
      </c>
    </row>
    <row r="51" spans="1:9">
      <c r="A51" s="2682" t="s">
        <v>670</v>
      </c>
      <c r="B51" s="2683"/>
      <c r="C51" s="584">
        <v>1044</v>
      </c>
      <c r="D51" s="633">
        <v>1385</v>
      </c>
      <c r="E51" s="584">
        <v>81</v>
      </c>
      <c r="F51" s="633">
        <v>127</v>
      </c>
      <c r="G51" s="480">
        <f>SUM(C51:D51)</f>
        <v>2429</v>
      </c>
      <c r="H51" s="480">
        <f>SUM(E51:F51)</f>
        <v>208</v>
      </c>
      <c r="I51" s="1215">
        <v>3</v>
      </c>
    </row>
    <row r="52" spans="1:9">
      <c r="A52" s="2687" t="s">
        <v>1212</v>
      </c>
      <c r="B52" s="2688"/>
      <c r="C52" s="480">
        <f t="shared" ref="C52:H52" si="1">SUM(C49:C51)</f>
        <v>1354</v>
      </c>
      <c r="D52" s="480">
        <f t="shared" si="1"/>
        <v>1825</v>
      </c>
      <c r="E52" s="480">
        <f t="shared" si="1"/>
        <v>95</v>
      </c>
      <c r="F52" s="480">
        <f t="shared" si="1"/>
        <v>155</v>
      </c>
      <c r="G52" s="480">
        <f t="shared" si="1"/>
        <v>3179</v>
      </c>
      <c r="H52" s="480">
        <f t="shared" si="1"/>
        <v>250</v>
      </c>
      <c r="I52" s="1215">
        <v>0</v>
      </c>
    </row>
    <row r="53" spans="1:9">
      <c r="C53" s="1215">
        <v>1</v>
      </c>
      <c r="D53" s="1215">
        <v>1</v>
      </c>
      <c r="E53" s="1215">
        <v>2</v>
      </c>
      <c r="F53" s="1215">
        <v>2</v>
      </c>
      <c r="G53" s="1215">
        <v>1</v>
      </c>
      <c r="H53" s="1215">
        <v>2</v>
      </c>
      <c r="I53" s="1235" t="s">
        <v>265</v>
      </c>
    </row>
    <row r="54" spans="1:9" ht="15" customHeight="1">
      <c r="C54" s="1215">
        <v>1</v>
      </c>
      <c r="D54" s="1215">
        <v>2</v>
      </c>
      <c r="E54" s="1215">
        <v>1</v>
      </c>
      <c r="F54" s="1215">
        <v>2</v>
      </c>
      <c r="G54" s="1215">
        <v>0</v>
      </c>
      <c r="H54" s="1215">
        <v>0</v>
      </c>
      <c r="I54" s="1215" t="s">
        <v>1307</v>
      </c>
    </row>
    <row r="55" spans="1:9" ht="12.75" customHeight="1">
      <c r="A55" s="2279" t="s">
        <v>2373</v>
      </c>
      <c r="B55" s="2279"/>
      <c r="C55" s="2279"/>
      <c r="D55" s="2279"/>
      <c r="E55" s="2279"/>
      <c r="F55" s="2279"/>
      <c r="G55" s="2279"/>
      <c r="H55" s="2279"/>
    </row>
    <row r="57" spans="1:9" ht="60">
      <c r="A57" s="2698" t="s">
        <v>47</v>
      </c>
      <c r="B57" s="2701"/>
      <c r="C57" s="2547" t="s">
        <v>2376</v>
      </c>
      <c r="D57" s="2547"/>
      <c r="E57" s="2679" t="s">
        <v>2533</v>
      </c>
      <c r="F57" s="2679"/>
      <c r="G57" s="213" t="s">
        <v>2376</v>
      </c>
      <c r="H57" s="745" t="s">
        <v>2533</v>
      </c>
    </row>
    <row r="58" spans="1:9">
      <c r="A58" s="2680"/>
      <c r="B58" s="2681"/>
      <c r="C58" s="213" t="s">
        <v>707</v>
      </c>
      <c r="D58" s="358" t="s">
        <v>708</v>
      </c>
      <c r="E58" s="213" t="s">
        <v>707</v>
      </c>
      <c r="F58" s="342" t="s">
        <v>708</v>
      </c>
      <c r="G58" s="342" t="s">
        <v>768</v>
      </c>
      <c r="H58" s="342" t="s">
        <v>768</v>
      </c>
      <c r="I58" s="1219" t="s">
        <v>1730</v>
      </c>
    </row>
    <row r="59" spans="1:9">
      <c r="A59" s="2682" t="s">
        <v>714</v>
      </c>
      <c r="B59" s="2683"/>
      <c r="C59" s="584">
        <v>3777</v>
      </c>
      <c r="D59" s="633">
        <v>4455</v>
      </c>
      <c r="E59" s="584">
        <v>238</v>
      </c>
      <c r="F59" s="633">
        <v>550</v>
      </c>
      <c r="G59" s="480">
        <f>SUM(C59:D59)</f>
        <v>8232</v>
      </c>
      <c r="H59" s="480">
        <f>SUM(E59:F59)</f>
        <v>788</v>
      </c>
      <c r="I59" s="1215">
        <v>1</v>
      </c>
    </row>
    <row r="60" spans="1:9">
      <c r="A60" s="2682" t="s">
        <v>715</v>
      </c>
      <c r="B60" s="2683"/>
      <c r="C60" s="584">
        <v>4328</v>
      </c>
      <c r="D60" s="633">
        <v>4207</v>
      </c>
      <c r="E60" s="584">
        <v>564</v>
      </c>
      <c r="F60" s="633">
        <v>712</v>
      </c>
      <c r="G60" s="480">
        <f>SUM(C60:D60)</f>
        <v>8535</v>
      </c>
      <c r="H60" s="480">
        <f>SUM(E60:F60)</f>
        <v>1276</v>
      </c>
      <c r="I60" s="1215">
        <v>2</v>
      </c>
    </row>
    <row r="61" spans="1:9">
      <c r="A61" s="2682" t="s">
        <v>670</v>
      </c>
      <c r="B61" s="2683"/>
      <c r="C61" s="584">
        <v>18229</v>
      </c>
      <c r="D61" s="633">
        <v>16865</v>
      </c>
      <c r="E61" s="584">
        <v>2261</v>
      </c>
      <c r="F61" s="633">
        <v>2608</v>
      </c>
      <c r="G61" s="480">
        <f>SUM(C61:D61)</f>
        <v>35094</v>
      </c>
      <c r="H61" s="480">
        <f>SUM(E61:F61)</f>
        <v>4869</v>
      </c>
      <c r="I61" s="1215">
        <v>3</v>
      </c>
    </row>
    <row r="62" spans="1:9">
      <c r="A62" s="2687" t="s">
        <v>1212</v>
      </c>
      <c r="B62" s="2688"/>
      <c r="C62" s="480">
        <f t="shared" ref="C62:H62" si="2">SUM(C59:C61)</f>
        <v>26334</v>
      </c>
      <c r="D62" s="480">
        <f t="shared" si="2"/>
        <v>25527</v>
      </c>
      <c r="E62" s="480">
        <f t="shared" si="2"/>
        <v>3063</v>
      </c>
      <c r="F62" s="480">
        <f t="shared" si="2"/>
        <v>3870</v>
      </c>
      <c r="G62" s="480">
        <f t="shared" si="2"/>
        <v>51861</v>
      </c>
      <c r="H62" s="480">
        <f t="shared" si="2"/>
        <v>6933</v>
      </c>
      <c r="I62" s="1215">
        <v>0</v>
      </c>
    </row>
    <row r="63" spans="1:9">
      <c r="C63" s="1215">
        <v>1</v>
      </c>
      <c r="D63" s="1215">
        <v>1</v>
      </c>
      <c r="E63" s="1215">
        <v>2</v>
      </c>
      <c r="F63" s="1215">
        <v>2</v>
      </c>
      <c r="G63" s="1215">
        <v>1</v>
      </c>
      <c r="H63" s="1215">
        <v>2</v>
      </c>
      <c r="I63" s="1215" t="s">
        <v>266</v>
      </c>
    </row>
    <row r="64" spans="1:9" ht="15" customHeight="1">
      <c r="C64" s="1215">
        <v>1</v>
      </c>
      <c r="D64" s="1215">
        <v>2</v>
      </c>
      <c r="E64" s="1215">
        <v>1</v>
      </c>
      <c r="F64" s="1215">
        <v>2</v>
      </c>
      <c r="G64" s="1215">
        <v>0</v>
      </c>
      <c r="H64" s="1215">
        <v>0</v>
      </c>
      <c r="I64" s="1215" t="s">
        <v>1307</v>
      </c>
    </row>
    <row r="65" spans="1:11" ht="12.75" customHeight="1">
      <c r="A65" s="2689" t="s">
        <v>2377</v>
      </c>
      <c r="B65" s="2378"/>
      <c r="C65" s="2378"/>
      <c r="D65" s="2378"/>
      <c r="E65" s="2378"/>
      <c r="F65" s="2378"/>
      <c r="G65" s="2378"/>
      <c r="H65" s="2378"/>
    </row>
    <row r="67" spans="1:11" ht="24.75" customHeight="1">
      <c r="A67" s="2700" t="s">
        <v>1421</v>
      </c>
      <c r="B67" s="2700"/>
      <c r="C67" s="2685" t="s">
        <v>2419</v>
      </c>
      <c r="D67" s="2686"/>
      <c r="E67" s="2686" t="s">
        <v>2420</v>
      </c>
      <c r="F67" s="2686"/>
      <c r="G67" s="2684" t="s">
        <v>2421</v>
      </c>
      <c r="H67" s="2685"/>
      <c r="I67" s="2684" t="s">
        <v>2422</v>
      </c>
      <c r="J67" s="2685"/>
    </row>
    <row r="68" spans="1:11">
      <c r="A68" s="2690"/>
      <c r="B68" s="2691"/>
      <c r="C68" s="357" t="s">
        <v>707</v>
      </c>
      <c r="D68" s="357" t="s">
        <v>708</v>
      </c>
      <c r="E68" s="357" t="s">
        <v>707</v>
      </c>
      <c r="F68" s="357" t="s">
        <v>708</v>
      </c>
      <c r="G68" s="357" t="s">
        <v>707</v>
      </c>
      <c r="H68" s="357" t="s">
        <v>708</v>
      </c>
      <c r="I68" s="357" t="s">
        <v>707</v>
      </c>
      <c r="J68" s="357" t="s">
        <v>708</v>
      </c>
      <c r="K68" s="1235" t="s">
        <v>1730</v>
      </c>
    </row>
    <row r="69" spans="1:11">
      <c r="A69" s="2682" t="s">
        <v>714</v>
      </c>
      <c r="B69" s="2683"/>
      <c r="C69" s="584">
        <v>367</v>
      </c>
      <c r="D69" s="633">
        <v>324</v>
      </c>
      <c r="E69" s="584">
        <v>0</v>
      </c>
      <c r="F69" s="633">
        <v>24</v>
      </c>
      <c r="G69" s="706">
        <v>0</v>
      </c>
      <c r="H69" s="706">
        <v>0</v>
      </c>
      <c r="I69" s="706">
        <v>40</v>
      </c>
      <c r="J69" s="706">
        <v>27</v>
      </c>
      <c r="K69" s="1235">
        <v>1</v>
      </c>
    </row>
    <row r="70" spans="1:11">
      <c r="A70" s="2682" t="s">
        <v>715</v>
      </c>
      <c r="B70" s="2683"/>
      <c r="C70" s="584">
        <v>208</v>
      </c>
      <c r="D70" s="633">
        <v>327</v>
      </c>
      <c r="E70" s="584">
        <v>0</v>
      </c>
      <c r="F70" s="633">
        <v>35</v>
      </c>
      <c r="G70" s="706">
        <v>0</v>
      </c>
      <c r="H70" s="706">
        <v>0</v>
      </c>
      <c r="I70" s="706">
        <v>35</v>
      </c>
      <c r="J70" s="706">
        <v>17</v>
      </c>
      <c r="K70" s="1235">
        <v>2</v>
      </c>
    </row>
    <row r="71" spans="1:11">
      <c r="A71" s="2682" t="s">
        <v>670</v>
      </c>
      <c r="B71" s="2683"/>
      <c r="C71" s="584">
        <v>1078</v>
      </c>
      <c r="D71" s="633">
        <v>935</v>
      </c>
      <c r="E71" s="584">
        <v>146</v>
      </c>
      <c r="F71" s="633">
        <v>47</v>
      </c>
      <c r="G71" s="707">
        <v>0</v>
      </c>
      <c r="H71" s="707">
        <v>0</v>
      </c>
      <c r="I71" s="707">
        <v>35</v>
      </c>
      <c r="J71" s="707">
        <v>69</v>
      </c>
      <c r="K71" s="1235">
        <v>3</v>
      </c>
    </row>
    <row r="72" spans="1:11">
      <c r="A72" s="2687" t="s">
        <v>1212</v>
      </c>
      <c r="B72" s="2688"/>
      <c r="C72" s="480">
        <f t="shared" ref="C72:J72" si="3">SUM(C69:C71)</f>
        <v>1653</v>
      </c>
      <c r="D72" s="480">
        <f t="shared" si="3"/>
        <v>1586</v>
      </c>
      <c r="E72" s="480">
        <f t="shared" si="3"/>
        <v>146</v>
      </c>
      <c r="F72" s="480">
        <f t="shared" si="3"/>
        <v>106</v>
      </c>
      <c r="G72" s="480">
        <f t="shared" si="3"/>
        <v>0</v>
      </c>
      <c r="H72" s="480">
        <f t="shared" si="3"/>
        <v>0</v>
      </c>
      <c r="I72" s="480">
        <f t="shared" si="3"/>
        <v>110</v>
      </c>
      <c r="J72" s="480">
        <f t="shared" si="3"/>
        <v>113</v>
      </c>
      <c r="K72" s="1235">
        <v>0</v>
      </c>
    </row>
    <row r="73" spans="1:11">
      <c r="C73" s="1215">
        <v>1</v>
      </c>
      <c r="D73" s="1215">
        <v>1</v>
      </c>
      <c r="E73" s="1215">
        <v>2</v>
      </c>
      <c r="F73" s="1215">
        <v>2</v>
      </c>
      <c r="G73" s="1215">
        <v>3</v>
      </c>
      <c r="H73" s="1215">
        <v>3</v>
      </c>
      <c r="I73" s="1215">
        <v>4</v>
      </c>
      <c r="J73" s="1224">
        <v>4</v>
      </c>
      <c r="K73" s="1215" t="s">
        <v>48</v>
      </c>
    </row>
    <row r="74" spans="1:11">
      <c r="C74" s="1215">
        <v>1</v>
      </c>
      <c r="D74" s="1215">
        <v>2</v>
      </c>
      <c r="E74" s="1215">
        <v>1</v>
      </c>
      <c r="F74" s="1215">
        <v>2</v>
      </c>
      <c r="G74" s="1215">
        <v>1</v>
      </c>
      <c r="H74" s="1215">
        <v>2</v>
      </c>
      <c r="I74" s="1235">
        <v>1</v>
      </c>
      <c r="J74" s="1224">
        <v>2</v>
      </c>
      <c r="K74" s="1215" t="s">
        <v>1307</v>
      </c>
    </row>
    <row r="75" spans="1:11">
      <c r="A75" s="287" t="s">
        <v>874</v>
      </c>
    </row>
    <row r="76" spans="1:11" ht="13.5" thickBot="1"/>
    <row r="77" spans="1:11" ht="13.5" thickBot="1">
      <c r="A77" s="2678" t="s">
        <v>49</v>
      </c>
      <c r="B77" s="2476"/>
      <c r="C77" s="2476"/>
      <c r="D77" s="2476"/>
      <c r="E77" s="2476"/>
      <c r="F77" s="2476"/>
      <c r="G77" s="2476"/>
      <c r="H77" s="2476"/>
    </row>
    <row r="78" spans="1:11" ht="15" customHeight="1"/>
    <row r="80" spans="1:11">
      <c r="A80" s="2705" t="s">
        <v>1414</v>
      </c>
      <c r="B80" s="2498"/>
      <c r="C80" s="2706"/>
      <c r="D80" s="1043" t="s">
        <v>1124</v>
      </c>
    </row>
    <row r="81" spans="1:8">
      <c r="A81" s="66" t="s">
        <v>50</v>
      </c>
    </row>
    <row r="82" spans="1:8" ht="15" customHeight="1"/>
    <row r="83" spans="1:8" ht="12.75" customHeight="1">
      <c r="A83" s="2279" t="s">
        <v>2378</v>
      </c>
      <c r="B83" s="2279"/>
      <c r="C83" s="2279"/>
      <c r="D83" s="2279"/>
      <c r="E83" s="2279"/>
      <c r="F83" s="2279"/>
      <c r="G83" s="2279"/>
      <c r="H83" s="2279"/>
    </row>
    <row r="85" spans="1:8">
      <c r="B85" s="2713" t="s">
        <v>707</v>
      </c>
      <c r="C85" s="2714"/>
      <c r="D85" s="2714"/>
      <c r="E85" s="2707" t="s">
        <v>708</v>
      </c>
      <c r="F85" s="2708"/>
      <c r="G85" s="2709"/>
    </row>
    <row r="86" spans="1:8" ht="40.5" customHeight="1">
      <c r="B86" s="2715"/>
      <c r="C86" s="2716"/>
      <c r="D86" s="2716"/>
      <c r="E86" s="2710"/>
      <c r="F86" s="2711"/>
      <c r="G86" s="2712"/>
    </row>
    <row r="87" spans="1:8" ht="37.5" customHeight="1">
      <c r="B87" s="879" t="s">
        <v>714</v>
      </c>
      <c r="C87" s="879" t="s">
        <v>715</v>
      </c>
      <c r="D87" s="918" t="s">
        <v>670</v>
      </c>
      <c r="E87" s="919" t="s">
        <v>714</v>
      </c>
      <c r="F87" s="920" t="s">
        <v>715</v>
      </c>
      <c r="G87" s="921" t="s">
        <v>670</v>
      </c>
    </row>
    <row r="88" spans="1:8" ht="37.5" customHeight="1">
      <c r="A88" s="918" t="s">
        <v>2534</v>
      </c>
      <c r="B88" s="1044">
        <v>29</v>
      </c>
      <c r="C88" s="1044">
        <v>7</v>
      </c>
      <c r="D88" s="1045">
        <v>20</v>
      </c>
      <c r="E88" s="1046">
        <v>59</v>
      </c>
      <c r="F88" s="1047">
        <v>52</v>
      </c>
      <c r="G88" s="1048">
        <v>94</v>
      </c>
    </row>
    <row r="89" spans="1:8" ht="45" customHeight="1">
      <c r="A89" s="918" t="s">
        <v>2379</v>
      </c>
      <c r="B89" s="1049">
        <v>29</v>
      </c>
      <c r="C89" s="1049">
        <v>7</v>
      </c>
      <c r="D89" s="1050">
        <v>20</v>
      </c>
      <c r="E89" s="1051">
        <v>59</v>
      </c>
      <c r="F89" s="1052">
        <v>52</v>
      </c>
      <c r="G89" s="1053">
        <v>94</v>
      </c>
    </row>
    <row r="90" spans="1:8">
      <c r="B90" s="1236">
        <v>1</v>
      </c>
      <c r="C90" s="1236">
        <v>1</v>
      </c>
      <c r="D90" s="1236">
        <v>1</v>
      </c>
      <c r="E90" s="1236">
        <v>2</v>
      </c>
      <c r="F90" s="1236">
        <v>2</v>
      </c>
      <c r="G90" s="1236">
        <v>2</v>
      </c>
      <c r="H90" s="1237" t="s">
        <v>1307</v>
      </c>
    </row>
    <row r="91" spans="1:8" ht="12.75" customHeight="1">
      <c r="B91" s="1219">
        <v>1</v>
      </c>
      <c r="C91" s="1219">
        <v>2</v>
      </c>
      <c r="D91" s="1219">
        <v>3</v>
      </c>
      <c r="E91" s="1219">
        <v>1</v>
      </c>
      <c r="F91" s="1219">
        <v>2</v>
      </c>
      <c r="G91" s="1219">
        <v>3</v>
      </c>
      <c r="H91" s="1215" t="s">
        <v>1013</v>
      </c>
    </row>
    <row r="92" spans="1:8" ht="51" customHeight="1">
      <c r="A92" s="2717" t="s">
        <v>1010</v>
      </c>
      <c r="B92" s="2718"/>
      <c r="C92" s="2718"/>
      <c r="D92" s="2718"/>
      <c r="E92" s="2718"/>
      <c r="F92" s="2718"/>
      <c r="G92" s="2718"/>
      <c r="H92" s="2719"/>
    </row>
    <row r="93" spans="1:8" ht="90.75" customHeight="1">
      <c r="A93" s="2702" t="s">
        <v>1011</v>
      </c>
      <c r="B93" s="2703"/>
      <c r="C93" s="2703"/>
      <c r="D93" s="2703"/>
      <c r="E93" s="2703"/>
      <c r="F93" s="2703"/>
      <c r="G93" s="2703"/>
      <c r="H93" s="2704"/>
    </row>
  </sheetData>
  <sheetProtection algorithmName="SHA-512" hashValue="zPbINs86xS48RT2OV5o7zMcrXzvTRtdNsriV3cZbaqjr3pbXlMvo5KGssquBTiwJ478ti0625DRhlVzpAHP2QA==" saltValue="qNDX+14uWQki7fpeEDctyA==" spinCount="100000" sheet="1" objects="1" scenarios="1"/>
  <mergeCells count="52">
    <mergeCell ref="A3:H3"/>
    <mergeCell ref="A6:H6"/>
    <mergeCell ref="A31:F31"/>
    <mergeCell ref="A43:J43"/>
    <mergeCell ref="D34:F34"/>
    <mergeCell ref="B23:C23"/>
    <mergeCell ref="A8:F8"/>
    <mergeCell ref="A10:G10"/>
    <mergeCell ref="A52:B52"/>
    <mergeCell ref="A50:B50"/>
    <mergeCell ref="D12:F12"/>
    <mergeCell ref="A29:H29"/>
    <mergeCell ref="B21:C21"/>
    <mergeCell ref="A45:F45"/>
    <mergeCell ref="B39:C39"/>
    <mergeCell ref="A49:B49"/>
    <mergeCell ref="A48:B48"/>
    <mergeCell ref="E47:F47"/>
    <mergeCell ref="A93:H93"/>
    <mergeCell ref="A80:C80"/>
    <mergeCell ref="A83:H83"/>
    <mergeCell ref="E85:G86"/>
    <mergeCell ref="B85:D86"/>
    <mergeCell ref="A92:H92"/>
    <mergeCell ref="I67:J67"/>
    <mergeCell ref="B36:C36"/>
    <mergeCell ref="B37:C37"/>
    <mergeCell ref="C47:D47"/>
    <mergeCell ref="B38:C38"/>
    <mergeCell ref="A41:G41"/>
    <mergeCell ref="A47:B47"/>
    <mergeCell ref="C57:D57"/>
    <mergeCell ref="A62:B62"/>
    <mergeCell ref="A60:B60"/>
    <mergeCell ref="E67:F67"/>
    <mergeCell ref="A67:B67"/>
    <mergeCell ref="A51:B51"/>
    <mergeCell ref="A61:B61"/>
    <mergeCell ref="A55:H55"/>
    <mergeCell ref="A57:B57"/>
    <mergeCell ref="A77:H77"/>
    <mergeCell ref="E57:F57"/>
    <mergeCell ref="A58:B58"/>
    <mergeCell ref="A59:B59"/>
    <mergeCell ref="G67:H67"/>
    <mergeCell ref="C67:D67"/>
    <mergeCell ref="A72:B72"/>
    <mergeCell ref="A65:H65"/>
    <mergeCell ref="A71:B71"/>
    <mergeCell ref="A70:B70"/>
    <mergeCell ref="A69:B69"/>
    <mergeCell ref="A68:B68"/>
  </mergeCells>
  <dataValidations xWindow="59020" yWindow="8521" count="2">
    <dataValidation type="list" allowBlank="1" showInputMessage="1" showErrorMessage="1" errorTitle="Erreur de saisie" error="Vous devez saisir une valeur dans la liste" sqref="H10 H41 D80">
      <formula1>lstReponse</formula1>
    </dataValidation>
    <dataValidation type="whole" allowBlank="1" showInputMessage="1" showErrorMessage="1" errorTitle="Erreur de saisie" error="Vous devez saisir une valeur entière" sqref="D14:E19 D21:E21 D36:E39 C49:F51 C59:F61 C69:J71 B88:G89">
      <formula1>0</formula1>
      <formula2>999999999999</formula2>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42" firstPageNumber="0" orientation="portrait" r:id="rId1"/>
  <headerFooter alignWithMargins="0">
    <oddFooter>&amp;LRSU 2020 - Présentation au CTP&amp;R&amp;P/&amp;N
&amp;A</oddFooter>
  </headerFooter>
  <rowBreaks count="2" manualBreakCount="2">
    <brk id="41" max="16383" man="1"/>
    <brk id="75" max="9" man="1"/>
  </rowBreaks>
</worksheet>
</file>

<file path=xl/worksheets/sheet58.xml><?xml version="1.0" encoding="utf-8"?>
<worksheet xmlns="http://schemas.openxmlformats.org/spreadsheetml/2006/main" xmlns:r="http://schemas.openxmlformats.org/officeDocument/2006/relationships">
  <sheetPr codeName="Feuil50">
    <pageSetUpPr fitToPage="1"/>
  </sheetPr>
  <dimension ref="A1:F5"/>
  <sheetViews>
    <sheetView showGridLines="0" workbookViewId="0"/>
  </sheetViews>
  <sheetFormatPr baseColWidth="10" defaultColWidth="10.85546875" defaultRowHeight="12.75" customHeight="1"/>
  <cols>
    <col min="5" max="5" width="16.42578125" customWidth="1"/>
    <col min="6" max="6" width="28.140625" customWidth="1"/>
  </cols>
  <sheetData>
    <row r="1" spans="1:6" ht="17.100000000000001" customHeight="1">
      <c r="A1" s="55"/>
      <c r="B1" s="2736" t="s">
        <v>958</v>
      </c>
      <c r="C1" s="2737"/>
      <c r="D1" s="2736"/>
      <c r="E1" s="55"/>
      <c r="F1" s="55"/>
    </row>
    <row r="2" spans="1:6" ht="13.5" thickBot="1">
      <c r="A2" s="267"/>
      <c r="B2" s="267"/>
      <c r="C2" s="267"/>
      <c r="D2" s="267"/>
      <c r="E2" s="267"/>
      <c r="F2" s="267"/>
    </row>
    <row r="3" spans="1:6">
      <c r="A3" s="2277" t="s">
        <v>1104</v>
      </c>
      <c r="B3" s="2277"/>
      <c r="C3" s="2277"/>
      <c r="D3" s="2277"/>
      <c r="E3" s="2277"/>
      <c r="F3" s="2277"/>
    </row>
    <row r="4" spans="1:6" ht="12.75" customHeight="1">
      <c r="A4" s="55"/>
      <c r="B4" s="55"/>
      <c r="C4" s="55"/>
      <c r="D4" s="55"/>
      <c r="E4" s="549"/>
      <c r="F4" s="549"/>
    </row>
    <row r="5" spans="1:6">
      <c r="A5" s="548" t="s">
        <v>2380</v>
      </c>
      <c r="B5" s="540"/>
      <c r="C5" s="540"/>
      <c r="D5" s="540"/>
      <c r="E5" s="537"/>
      <c r="F5" s="631" t="s">
        <v>1124</v>
      </c>
    </row>
  </sheetData>
  <sheetProtection algorithmName="SHA-512" hashValue="4TR3pGQ9oU72aLuleQ6/W9qnksda2kSKhZ4YEgKN7acoiFTnPMCQH8yCCYcPJPzoftnrrLNlwHTC8+XlMhVYhA==" saltValue="SK7ES4AqllAe5SDFkjTUsA==" spinCount="100000" sheet="1" objects="1" scenarios="1"/>
  <mergeCells count="2">
    <mergeCell ref="A3:F3"/>
    <mergeCell ref="B1:D1"/>
  </mergeCells>
  <dataValidations xWindow="48598" yWindow="20303" count="1">
    <dataValidation type="list" allowBlank="1" showInputMessage="1" showErrorMessage="1" errorTitle="Erreur de saisie" error="Vous devez saisir une valeur dans la liste" sqref="F5">
      <formula1>lstReponse2</formula1>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firstPageNumber="0" orientation="portrait" r:id="rId1"/>
  <headerFooter alignWithMargins="0">
    <oddFooter>&amp;LRSU 2020 - Présentation au CTP&amp;R&amp;P/&amp;N
&amp;A</oddFooter>
  </headerFooter>
</worksheet>
</file>

<file path=xl/worksheets/sheet59.xml><?xml version="1.0" encoding="utf-8"?>
<worksheet xmlns="http://schemas.openxmlformats.org/spreadsheetml/2006/main" xmlns:r="http://schemas.openxmlformats.org/officeDocument/2006/relationships">
  <sheetPr codeName="Feuil51">
    <pageSetUpPr fitToPage="1"/>
  </sheetPr>
  <dimension ref="A1:I34"/>
  <sheetViews>
    <sheetView showGridLines="0" zoomScaleNormal="100" workbookViewId="0"/>
  </sheetViews>
  <sheetFormatPr baseColWidth="10" defaultRowHeight="12.75" customHeight="1"/>
  <cols>
    <col min="1" max="1" width="62" customWidth="1"/>
  </cols>
  <sheetData>
    <row r="1" spans="1:9" ht="17.100000000000001" customHeight="1">
      <c r="B1" s="2736" t="s">
        <v>958</v>
      </c>
      <c r="C1" s="2737"/>
      <c r="D1" s="2736"/>
    </row>
    <row r="2" spans="1:9" ht="13.5" thickBot="1"/>
    <row r="3" spans="1:9" ht="13.5" thickBot="1">
      <c r="A3" s="2745" t="s">
        <v>755</v>
      </c>
      <c r="B3" s="2745"/>
      <c r="C3" s="2745"/>
      <c r="D3" s="2745"/>
      <c r="E3" s="2745"/>
      <c r="F3" s="2745"/>
      <c r="G3" s="2745"/>
      <c r="H3" s="2745"/>
    </row>
    <row r="5" spans="1:9">
      <c r="A5" s="2744" t="s">
        <v>2535</v>
      </c>
      <c r="B5" s="2379"/>
      <c r="C5" s="2379"/>
      <c r="D5" s="2379"/>
      <c r="E5" s="2379"/>
      <c r="F5" s="2379"/>
      <c r="G5" s="2379"/>
      <c r="H5" s="2379"/>
    </row>
    <row r="7" spans="1:9">
      <c r="A7" s="1054" t="s">
        <v>1415</v>
      </c>
    </row>
    <row r="8" spans="1:9">
      <c r="A8" s="2738"/>
      <c r="B8" s="2740" t="s">
        <v>707</v>
      </c>
      <c r="C8" s="2741"/>
      <c r="D8" s="2742"/>
      <c r="E8" s="2740" t="s">
        <v>708</v>
      </c>
      <c r="F8" s="2741"/>
      <c r="G8" s="2742"/>
      <c r="H8" s="2743" t="s">
        <v>768</v>
      </c>
    </row>
    <row r="9" spans="1:9">
      <c r="A9" s="2739"/>
      <c r="B9" s="1009" t="s">
        <v>1416</v>
      </c>
      <c r="C9" s="1009" t="s">
        <v>1417</v>
      </c>
      <c r="D9" s="1009" t="s">
        <v>1418</v>
      </c>
      <c r="E9" s="1009" t="s">
        <v>1416</v>
      </c>
      <c r="F9" s="1009" t="s">
        <v>1417</v>
      </c>
      <c r="G9" s="1009" t="s">
        <v>1418</v>
      </c>
      <c r="H9" s="2743"/>
      <c r="I9" s="1235" t="s">
        <v>1091</v>
      </c>
    </row>
    <row r="10" spans="1:9">
      <c r="A10" s="1010" t="s">
        <v>1419</v>
      </c>
      <c r="B10" s="1017">
        <v>25</v>
      </c>
      <c r="C10" s="1017">
        <v>49</v>
      </c>
      <c r="D10" s="1017">
        <v>650</v>
      </c>
      <c r="E10" s="1017">
        <v>94</v>
      </c>
      <c r="F10" s="1017">
        <v>84</v>
      </c>
      <c r="G10" s="1017">
        <v>2046</v>
      </c>
      <c r="H10" s="1011">
        <f>SUM(B10:G10)</f>
        <v>2948</v>
      </c>
      <c r="I10" s="1235">
        <v>1</v>
      </c>
    </row>
    <row r="11" spans="1:9">
      <c r="A11" s="1010" t="s">
        <v>659</v>
      </c>
      <c r="B11" s="1017">
        <v>3115</v>
      </c>
      <c r="C11" s="1017">
        <v>4592</v>
      </c>
      <c r="D11" s="1017">
        <v>46372</v>
      </c>
      <c r="E11" s="1017">
        <v>10546</v>
      </c>
      <c r="F11" s="1017">
        <v>7268</v>
      </c>
      <c r="G11" s="1017">
        <v>125329</v>
      </c>
      <c r="H11" s="1011">
        <f>SUM(B11:G11)</f>
        <v>197222</v>
      </c>
      <c r="I11" s="1235">
        <v>5</v>
      </c>
    </row>
    <row r="12" spans="1:9" ht="25.5">
      <c r="A12" s="1012" t="s">
        <v>885</v>
      </c>
      <c r="B12" s="1089">
        <v>149</v>
      </c>
      <c r="C12" s="1089">
        <v>198</v>
      </c>
      <c r="D12" s="1089">
        <v>1306</v>
      </c>
      <c r="E12" s="1089">
        <v>267</v>
      </c>
      <c r="F12" s="1089">
        <v>228</v>
      </c>
      <c r="G12" s="1089">
        <v>2853</v>
      </c>
      <c r="H12" s="1013">
        <f>SUM(B12:G12)</f>
        <v>5001</v>
      </c>
      <c r="I12" s="1238">
        <v>3</v>
      </c>
    </row>
    <row r="13" spans="1:9">
      <c r="A13" s="1010" t="s">
        <v>1420</v>
      </c>
      <c r="B13" s="1017">
        <v>19</v>
      </c>
      <c r="C13" s="1017">
        <v>38</v>
      </c>
      <c r="D13" s="1017">
        <v>554</v>
      </c>
      <c r="E13" s="1017">
        <v>76</v>
      </c>
      <c r="F13" s="1017">
        <v>76</v>
      </c>
      <c r="G13" s="1017">
        <v>1760</v>
      </c>
      <c r="H13" s="1011">
        <f>SUM(B13:G13)</f>
        <v>2523</v>
      </c>
      <c r="I13" s="1235">
        <v>4</v>
      </c>
    </row>
    <row r="14" spans="1:9" ht="25.5">
      <c r="A14" s="1012" t="s">
        <v>1389</v>
      </c>
      <c r="B14" s="1089">
        <v>21</v>
      </c>
      <c r="C14" s="1089">
        <v>48</v>
      </c>
      <c r="D14" s="1089">
        <v>635</v>
      </c>
      <c r="E14" s="1089">
        <v>92</v>
      </c>
      <c r="F14" s="1089">
        <v>87</v>
      </c>
      <c r="G14" s="1089">
        <v>2036</v>
      </c>
      <c r="H14" s="1013">
        <f>SUM(B14:G14)</f>
        <v>2919</v>
      </c>
      <c r="I14" s="1235">
        <v>2</v>
      </c>
    </row>
    <row r="15" spans="1:9">
      <c r="B15" s="1228">
        <v>1</v>
      </c>
      <c r="C15" s="1228">
        <v>1</v>
      </c>
      <c r="D15" s="1228">
        <v>1</v>
      </c>
      <c r="E15" s="1228">
        <v>2</v>
      </c>
      <c r="F15" s="1228">
        <v>2</v>
      </c>
      <c r="G15" s="1228">
        <v>2</v>
      </c>
      <c r="H15" s="1228">
        <v>0</v>
      </c>
      <c r="I15" s="1235" t="s">
        <v>1307</v>
      </c>
    </row>
    <row r="16" spans="1:9">
      <c r="A16" s="1054" t="s">
        <v>619</v>
      </c>
      <c r="B16" s="1228">
        <v>1</v>
      </c>
      <c r="C16" s="1228">
        <v>2</v>
      </c>
      <c r="D16" s="1228">
        <v>3</v>
      </c>
      <c r="E16" s="1228">
        <v>1</v>
      </c>
      <c r="F16" s="1228">
        <v>2</v>
      </c>
      <c r="G16" s="1228">
        <v>3</v>
      </c>
      <c r="H16" s="1228">
        <v>0</v>
      </c>
      <c r="I16" s="1235" t="s">
        <v>1013</v>
      </c>
    </row>
    <row r="17" spans="1:9">
      <c r="A17" s="2738"/>
      <c r="B17" s="2740" t="s">
        <v>707</v>
      </c>
      <c r="C17" s="2741"/>
      <c r="D17" s="2742"/>
      <c r="E17" s="2740" t="s">
        <v>708</v>
      </c>
      <c r="F17" s="2741"/>
      <c r="G17" s="2742"/>
      <c r="H17" s="2743" t="s">
        <v>768</v>
      </c>
    </row>
    <row r="18" spans="1:9">
      <c r="A18" s="2739"/>
      <c r="B18" s="1009" t="s">
        <v>1416</v>
      </c>
      <c r="C18" s="1009" t="s">
        <v>1417</v>
      </c>
      <c r="D18" s="1009" t="s">
        <v>1418</v>
      </c>
      <c r="E18" s="1009" t="s">
        <v>1416</v>
      </c>
      <c r="F18" s="1009" t="s">
        <v>1417</v>
      </c>
      <c r="G18" s="1009" t="s">
        <v>1418</v>
      </c>
      <c r="H18" s="2743"/>
      <c r="I18" s="1235" t="s">
        <v>1091</v>
      </c>
    </row>
    <row r="19" spans="1:9">
      <c r="A19" s="1010" t="s">
        <v>1419</v>
      </c>
      <c r="B19" s="1017">
        <v>21</v>
      </c>
      <c r="C19" s="1017">
        <v>23</v>
      </c>
      <c r="D19" s="1017">
        <v>48</v>
      </c>
      <c r="E19" s="1017">
        <v>34</v>
      </c>
      <c r="F19" s="1017">
        <v>32</v>
      </c>
      <c r="G19" s="1017">
        <v>399</v>
      </c>
      <c r="H19" s="1011">
        <f>SUM(B19:G19)</f>
        <v>557</v>
      </c>
      <c r="I19" s="1235">
        <v>1</v>
      </c>
    </row>
    <row r="20" spans="1:9">
      <c r="A20" s="1010" t="s">
        <v>659</v>
      </c>
      <c r="B20" s="1017">
        <v>2805</v>
      </c>
      <c r="C20" s="1017">
        <v>1619</v>
      </c>
      <c r="D20" s="1017">
        <v>2932</v>
      </c>
      <c r="E20" s="1017">
        <v>3141</v>
      </c>
      <c r="F20" s="1017">
        <v>2044</v>
      </c>
      <c r="G20" s="1017">
        <v>21458</v>
      </c>
      <c r="H20" s="1011">
        <f>SUM(B20:G20)</f>
        <v>33999</v>
      </c>
      <c r="I20" s="1235">
        <v>5</v>
      </c>
    </row>
    <row r="21" spans="1:9" ht="25.5">
      <c r="A21" s="1012" t="s">
        <v>885</v>
      </c>
      <c r="B21" s="1089">
        <v>129</v>
      </c>
      <c r="C21" s="1089">
        <v>100</v>
      </c>
      <c r="D21" s="1089">
        <v>158</v>
      </c>
      <c r="E21" s="1089">
        <v>111</v>
      </c>
      <c r="F21" s="1089">
        <v>121</v>
      </c>
      <c r="G21" s="1089">
        <v>670</v>
      </c>
      <c r="H21" s="1013">
        <f>SUM(B21:G21)</f>
        <v>1289</v>
      </c>
      <c r="I21" s="1238">
        <v>3</v>
      </c>
    </row>
    <row r="22" spans="1:9">
      <c r="A22" s="1010" t="s">
        <v>1420</v>
      </c>
      <c r="B22" s="1017">
        <v>16</v>
      </c>
      <c r="C22" s="1017">
        <v>22</v>
      </c>
      <c r="D22" s="1017">
        <v>45</v>
      </c>
      <c r="E22" s="1017">
        <v>34</v>
      </c>
      <c r="F22" s="1017">
        <v>25</v>
      </c>
      <c r="G22" s="1017">
        <v>327</v>
      </c>
      <c r="H22" s="1011">
        <f>SUM(B22:G22)</f>
        <v>469</v>
      </c>
      <c r="I22" s="1235">
        <v>4</v>
      </c>
    </row>
    <row r="23" spans="1:9" ht="25.5">
      <c r="A23" s="1012" t="s">
        <v>1389</v>
      </c>
      <c r="B23" s="1089">
        <v>21</v>
      </c>
      <c r="C23" s="1089">
        <v>23</v>
      </c>
      <c r="D23" s="1089">
        <v>48</v>
      </c>
      <c r="E23" s="1089">
        <v>38</v>
      </c>
      <c r="F23" s="1089">
        <v>32</v>
      </c>
      <c r="G23" s="1089">
        <v>368</v>
      </c>
      <c r="H23" s="1013">
        <f>SUM(B23:G23)</f>
        <v>530</v>
      </c>
      <c r="I23" s="1235">
        <v>2</v>
      </c>
    </row>
    <row r="24" spans="1:9">
      <c r="B24" s="1228">
        <v>1</v>
      </c>
      <c r="C24" s="1228">
        <v>1</v>
      </c>
      <c r="D24" s="1228">
        <v>1</v>
      </c>
      <c r="E24" s="1228">
        <v>2</v>
      </c>
      <c r="F24" s="1228">
        <v>2</v>
      </c>
      <c r="G24" s="1228">
        <v>2</v>
      </c>
      <c r="H24" s="1228">
        <v>0</v>
      </c>
      <c r="I24" s="1235" t="s">
        <v>1307</v>
      </c>
    </row>
    <row r="25" spans="1:9">
      <c r="A25" s="1054" t="s">
        <v>620</v>
      </c>
      <c r="B25" s="1228">
        <v>1</v>
      </c>
      <c r="C25" s="1228">
        <v>2</v>
      </c>
      <c r="D25" s="1228">
        <v>3</v>
      </c>
      <c r="E25" s="1228">
        <v>1</v>
      </c>
      <c r="F25" s="1228">
        <v>2</v>
      </c>
      <c r="G25" s="1228">
        <v>3</v>
      </c>
      <c r="H25" s="1228">
        <v>0</v>
      </c>
      <c r="I25" s="1235" t="s">
        <v>1013</v>
      </c>
    </row>
    <row r="26" spans="1:9">
      <c r="A26" s="2738"/>
      <c r="B26" s="2740" t="s">
        <v>707</v>
      </c>
      <c r="C26" s="2741"/>
      <c r="D26" s="2742"/>
      <c r="E26" s="2740" t="s">
        <v>708</v>
      </c>
      <c r="F26" s="2741"/>
      <c r="G26" s="2742"/>
      <c r="H26" s="2743" t="s">
        <v>768</v>
      </c>
    </row>
    <row r="27" spans="1:9">
      <c r="A27" s="2739"/>
      <c r="B27" s="1009" t="s">
        <v>1416</v>
      </c>
      <c r="C27" s="1009" t="s">
        <v>1417</v>
      </c>
      <c r="D27" s="1009" t="s">
        <v>1418</v>
      </c>
      <c r="E27" s="1009" t="s">
        <v>1416</v>
      </c>
      <c r="F27" s="1009" t="s">
        <v>1417</v>
      </c>
      <c r="G27" s="1009" t="s">
        <v>1418</v>
      </c>
      <c r="H27" s="2743"/>
      <c r="I27" s="1235" t="s">
        <v>1091</v>
      </c>
    </row>
    <row r="28" spans="1:9">
      <c r="A28" s="1010" t="s">
        <v>1419</v>
      </c>
      <c r="B28" s="1017">
        <v>0</v>
      </c>
      <c r="C28" s="1017">
        <v>2</v>
      </c>
      <c r="D28" s="1017">
        <v>0</v>
      </c>
      <c r="E28" s="1017">
        <v>0</v>
      </c>
      <c r="F28" s="1017">
        <v>0</v>
      </c>
      <c r="G28" s="1017">
        <v>0</v>
      </c>
      <c r="H28" s="1011">
        <f>SUM(B28:G28)</f>
        <v>2</v>
      </c>
      <c r="I28" s="1235">
        <v>1</v>
      </c>
    </row>
    <row r="29" spans="1:9">
      <c r="A29" s="1010" t="s">
        <v>659</v>
      </c>
      <c r="B29" s="1017">
        <v>0</v>
      </c>
      <c r="C29" s="1017">
        <v>103</v>
      </c>
      <c r="D29" s="1017">
        <v>0</v>
      </c>
      <c r="E29" s="1017">
        <v>0</v>
      </c>
      <c r="F29" s="1017">
        <v>0</v>
      </c>
      <c r="G29" s="1017">
        <v>0</v>
      </c>
      <c r="H29" s="1011">
        <f>SUM(B29:G29)</f>
        <v>103</v>
      </c>
      <c r="I29" s="1235">
        <v>5</v>
      </c>
    </row>
    <row r="30" spans="1:9" ht="25.5">
      <c r="A30" s="1150" t="s">
        <v>885</v>
      </c>
      <c r="B30" s="1089">
        <v>80</v>
      </c>
      <c r="C30" s="1089">
        <v>21</v>
      </c>
      <c r="D30" s="1089">
        <v>1005</v>
      </c>
      <c r="E30" s="1089">
        <v>56</v>
      </c>
      <c r="F30" s="1089">
        <v>16</v>
      </c>
      <c r="G30" s="1089">
        <v>2484</v>
      </c>
      <c r="H30" s="1013">
        <f>SUM(B30:G30)</f>
        <v>3662</v>
      </c>
      <c r="I30" s="1238">
        <v>3</v>
      </c>
    </row>
    <row r="31" spans="1:9">
      <c r="A31" s="1010" t="s">
        <v>1420</v>
      </c>
      <c r="B31" s="1017">
        <v>0</v>
      </c>
      <c r="C31" s="1017">
        <v>2</v>
      </c>
      <c r="D31" s="1017">
        <v>0</v>
      </c>
      <c r="E31" s="1017">
        <v>0</v>
      </c>
      <c r="F31" s="1017">
        <v>0</v>
      </c>
      <c r="G31" s="1017">
        <v>0</v>
      </c>
      <c r="H31" s="1011">
        <f>SUM(B31:G31)</f>
        <v>2</v>
      </c>
      <c r="I31" s="1235">
        <v>4</v>
      </c>
    </row>
    <row r="32" spans="1:9" ht="25.5">
      <c r="A32" s="1012" t="s">
        <v>1389</v>
      </c>
      <c r="B32" s="1089">
        <v>0</v>
      </c>
      <c r="C32" s="1089">
        <v>3</v>
      </c>
      <c r="D32" s="1089">
        <v>0</v>
      </c>
      <c r="E32" s="1089">
        <v>0</v>
      </c>
      <c r="F32" s="1089">
        <v>0</v>
      </c>
      <c r="G32" s="1089">
        <v>0</v>
      </c>
      <c r="H32" s="1013">
        <f>SUM(B32:G32)</f>
        <v>3</v>
      </c>
      <c r="I32" s="1235">
        <v>2</v>
      </c>
    </row>
    <row r="33" spans="2:9" ht="12.75" customHeight="1">
      <c r="B33" s="1228">
        <v>1</v>
      </c>
      <c r="C33" s="1228">
        <v>1</v>
      </c>
      <c r="D33" s="1228">
        <v>1</v>
      </c>
      <c r="E33" s="1228">
        <v>2</v>
      </c>
      <c r="F33" s="1228">
        <v>2</v>
      </c>
      <c r="G33" s="1228">
        <v>2</v>
      </c>
      <c r="H33" s="1228">
        <v>0</v>
      </c>
      <c r="I33" s="1235" t="s">
        <v>1307</v>
      </c>
    </row>
    <row r="34" spans="2:9" ht="12.75" customHeight="1">
      <c r="B34" s="1228">
        <v>1</v>
      </c>
      <c r="C34" s="1228">
        <v>2</v>
      </c>
      <c r="D34" s="1228">
        <v>3</v>
      </c>
      <c r="E34" s="1228">
        <v>1</v>
      </c>
      <c r="F34" s="1228">
        <v>2</v>
      </c>
      <c r="G34" s="1228">
        <v>3</v>
      </c>
      <c r="H34" s="1228">
        <v>0</v>
      </c>
      <c r="I34" s="1235" t="s">
        <v>1013</v>
      </c>
    </row>
  </sheetData>
  <sheetProtection algorithmName="SHA-512" hashValue="UcVTLxqA4H0yQS7KdS4YGYnb5MZczX8KJXykpNR1VYYTJh+JQz8V66rPjw6lFrTtL3tBoxzH07GEIgCvB6AdYw==" saltValue="saEynEq5hhdF8bY3lzERTA==" spinCount="100000" sheet="1" objects="1" scenarios="1"/>
  <mergeCells count="15">
    <mergeCell ref="H26:H27"/>
    <mergeCell ref="A5:H5"/>
    <mergeCell ref="A3:H3"/>
    <mergeCell ref="A8:A9"/>
    <mergeCell ref="H8:H9"/>
    <mergeCell ref="H17:H18"/>
    <mergeCell ref="B1:D1"/>
    <mergeCell ref="A26:A27"/>
    <mergeCell ref="B26:D26"/>
    <mergeCell ref="E26:G26"/>
    <mergeCell ref="B17:D17"/>
    <mergeCell ref="A17:A18"/>
    <mergeCell ref="E8:G8"/>
    <mergeCell ref="B8:D8"/>
    <mergeCell ref="E17:G17"/>
  </mergeCells>
  <dataValidations count="1">
    <dataValidation type="whole" allowBlank="1" showInputMessage="1" showErrorMessage="1" errorTitle="Erreur de saisie" error="Vous devez saisir une valeur entière" sqref="B10:G14 B19:G23 B28:G32">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64" orientation="portrait" r:id="rId1"/>
  <headerFooter alignWithMargins="0">
    <oddFooter>&amp;LRSU 2020 - Présentation au CTP&amp;R&amp;P/&amp;N
&amp;A</oddFooter>
  </headerFooter>
</worksheet>
</file>

<file path=xl/worksheets/sheet6.xml><?xml version="1.0" encoding="utf-8"?>
<worksheet xmlns="http://schemas.openxmlformats.org/spreadsheetml/2006/main" xmlns:r="http://schemas.openxmlformats.org/officeDocument/2006/relationships">
  <sheetPr codeName="Feuil23">
    <tabColor theme="8" tint="-0.249977111117893"/>
  </sheetPr>
  <dimension ref="A1"/>
  <sheetViews>
    <sheetView workbookViewId="0"/>
  </sheetViews>
  <sheetFormatPr baseColWidth="10" defaultColWidth="9.140625" defaultRowHeight="15"/>
  <cols>
    <col min="1" max="16384" width="9.140625" style="1293" collapsed="1"/>
  </cols>
  <sheetData/>
  <pageMargins left="0.7" right="0.7" top="0.75" bottom="0.75" header="0.3" footer="0.3"/>
</worksheet>
</file>

<file path=xl/worksheets/sheet60.xml><?xml version="1.0" encoding="utf-8"?>
<worksheet xmlns="http://schemas.openxmlformats.org/spreadsheetml/2006/main" xmlns:r="http://schemas.openxmlformats.org/officeDocument/2006/relationships">
  <sheetPr codeName="Feuil52">
    <pageSetUpPr fitToPage="1"/>
  </sheetPr>
  <dimension ref="A1:G7"/>
  <sheetViews>
    <sheetView showGridLines="0" workbookViewId="0"/>
  </sheetViews>
  <sheetFormatPr baseColWidth="10" defaultRowHeight="12.75" customHeight="1"/>
  <cols>
    <col min="1" max="1" width="31.140625" customWidth="1"/>
  </cols>
  <sheetData>
    <row r="1" spans="1:7" ht="17.100000000000001" customHeight="1">
      <c r="B1" s="2736" t="s">
        <v>958</v>
      </c>
      <c r="C1" s="2737"/>
      <c r="D1" s="2736"/>
    </row>
    <row r="2" spans="1:7" ht="13.5" thickBot="1"/>
    <row r="3" spans="1:7" ht="13.5" thickBot="1">
      <c r="A3" s="2745" t="s">
        <v>757</v>
      </c>
      <c r="B3" s="2746"/>
      <c r="C3" s="2746"/>
      <c r="D3" s="2746"/>
      <c r="E3" s="2746"/>
      <c r="F3" s="2746"/>
      <c r="G3" s="2746"/>
    </row>
    <row r="5" spans="1:7">
      <c r="A5" s="852" t="s">
        <v>657</v>
      </c>
      <c r="B5" s="852"/>
      <c r="C5" s="852"/>
      <c r="D5" s="852"/>
      <c r="E5" s="852"/>
      <c r="F5" s="852"/>
      <c r="G5" s="631" t="s">
        <v>1124</v>
      </c>
    </row>
    <row r="7" spans="1:7">
      <c r="A7" s="852" t="s">
        <v>658</v>
      </c>
      <c r="B7" s="852"/>
      <c r="C7" s="852"/>
      <c r="D7" s="852"/>
      <c r="E7" s="852"/>
      <c r="F7" s="852"/>
      <c r="G7" s="631" t="s">
        <v>1124</v>
      </c>
    </row>
  </sheetData>
  <sheetProtection algorithmName="SHA-512" hashValue="kNgNWq+4Az03dSCckkRg9R34WW52DcJKlqtaR/mfCcEfmP4YB1Z0nBK2n0iPiOhraBN/gAptXGIVns2NRAhEBg==" saltValue="Lvm+LrMtnyQbDO6eTwlBig==" spinCount="100000" sheet="1" objects="1" scenarios="1"/>
  <mergeCells count="2">
    <mergeCell ref="A3:G3"/>
    <mergeCell ref="B1:D1"/>
  </mergeCells>
  <dataValidations count="1">
    <dataValidation type="list" allowBlank="1" showInputMessage="1" showErrorMessage="1" errorTitle="Erreur de saisie" error="Vous devez saisir une valeur dans la liste" sqref="G5 G7">
      <formula1>lstReponse2</formula1>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91" orientation="portrait" r:id="rId1"/>
  <headerFooter alignWithMargins="0">
    <oddFooter>&amp;LRSU 2020 - Présentation au CTP&amp;R&amp;P/&amp;N
&amp;A</oddFooter>
  </headerFooter>
</worksheet>
</file>

<file path=xl/worksheets/sheet61.xml><?xml version="1.0" encoding="utf-8"?>
<worksheet xmlns="http://schemas.openxmlformats.org/spreadsheetml/2006/main" xmlns:r="http://schemas.openxmlformats.org/officeDocument/2006/relationships">
  <sheetPr codeName="Feuil53">
    <pageSetUpPr fitToPage="1"/>
  </sheetPr>
  <dimension ref="A1:F33"/>
  <sheetViews>
    <sheetView showGridLines="0" workbookViewId="0"/>
  </sheetViews>
  <sheetFormatPr baseColWidth="10" defaultColWidth="10.85546875" defaultRowHeight="12.75" customHeight="1"/>
  <cols>
    <col min="2" max="2" width="45" customWidth="1"/>
    <col min="3" max="5" width="12" customWidth="1"/>
  </cols>
  <sheetData>
    <row r="1" spans="1:6" ht="17.100000000000001" customHeight="1">
      <c r="C1" s="2245" t="s">
        <v>958</v>
      </c>
      <c r="D1" s="2245"/>
    </row>
    <row r="3" spans="1:6">
      <c r="A3" s="2749" t="s">
        <v>1105</v>
      </c>
      <c r="B3" s="2749"/>
      <c r="C3" s="2749"/>
      <c r="D3" s="2749"/>
      <c r="E3" s="2749"/>
      <c r="F3" s="2749"/>
    </row>
    <row r="5" spans="1:6">
      <c r="C5" s="1219">
        <v>1</v>
      </c>
      <c r="D5" s="1215">
        <v>2</v>
      </c>
      <c r="E5" s="1215">
        <v>0</v>
      </c>
      <c r="F5" s="1215" t="s">
        <v>1106</v>
      </c>
    </row>
    <row r="6" spans="1:6" ht="28.5" customHeight="1">
      <c r="C6" s="437" t="s">
        <v>707</v>
      </c>
      <c r="D6" s="437" t="s">
        <v>708</v>
      </c>
      <c r="E6" s="437" t="s">
        <v>768</v>
      </c>
      <c r="F6" s="423"/>
    </row>
    <row r="7" spans="1:6" ht="20.100000000000001" customHeight="1">
      <c r="A7" s="437" t="s">
        <v>1107</v>
      </c>
      <c r="B7" s="438" t="s">
        <v>1108</v>
      </c>
      <c r="C7" s="568">
        <v>9</v>
      </c>
      <c r="D7" s="564">
        <v>305</v>
      </c>
      <c r="E7" s="451">
        <f>C7+D7</f>
        <v>314</v>
      </c>
      <c r="F7" s="1215" t="s">
        <v>1626</v>
      </c>
    </row>
    <row r="8" spans="1:6" ht="20.100000000000001" customHeight="1">
      <c r="A8" s="437" t="s">
        <v>1627</v>
      </c>
      <c r="B8" s="439" t="s">
        <v>1628</v>
      </c>
      <c r="C8" s="564">
        <v>9</v>
      </c>
      <c r="D8" s="564">
        <v>302</v>
      </c>
      <c r="E8" s="451">
        <f>C8+D8</f>
        <v>311</v>
      </c>
      <c r="F8" s="1215" t="s">
        <v>1629</v>
      </c>
    </row>
    <row r="9" spans="1:6" ht="20.100000000000001" customHeight="1">
      <c r="A9" s="437" t="s">
        <v>1630</v>
      </c>
      <c r="B9" s="439" t="s">
        <v>1174</v>
      </c>
      <c r="C9" s="564">
        <v>4</v>
      </c>
      <c r="D9" s="564">
        <v>202</v>
      </c>
      <c r="E9" s="451">
        <f>C9+D9</f>
        <v>206</v>
      </c>
      <c r="F9" s="1215" t="s">
        <v>1175</v>
      </c>
    </row>
    <row r="10" spans="1:6" ht="20.100000000000001" customHeight="1">
      <c r="A10" s="437" t="s">
        <v>1176</v>
      </c>
      <c r="B10" s="439" t="s">
        <v>1177</v>
      </c>
      <c r="C10" s="564">
        <v>1</v>
      </c>
      <c r="D10" s="564">
        <v>62</v>
      </c>
      <c r="E10" s="451">
        <f>C10+D10</f>
        <v>63</v>
      </c>
      <c r="F10" s="1215" t="s">
        <v>1178</v>
      </c>
    </row>
    <row r="11" spans="1:6" ht="20.100000000000001" customHeight="1">
      <c r="A11" s="437" t="s">
        <v>1179</v>
      </c>
      <c r="B11" s="439" t="s">
        <v>1180</v>
      </c>
      <c r="C11" s="564">
        <v>2</v>
      </c>
      <c r="D11" s="564">
        <v>126</v>
      </c>
      <c r="E11" s="451">
        <f>C11+D11</f>
        <v>128</v>
      </c>
      <c r="F11" s="1215" t="s">
        <v>1181</v>
      </c>
    </row>
    <row r="13" spans="1:6" ht="27" customHeight="1">
      <c r="A13" s="2747" t="s">
        <v>531</v>
      </c>
      <c r="B13" s="2748"/>
      <c r="C13" s="2748"/>
      <c r="D13" s="2748"/>
      <c r="E13" s="2748"/>
      <c r="F13" s="2748"/>
    </row>
    <row r="15" spans="1:6" ht="27" customHeight="1">
      <c r="A15" s="2747" t="s">
        <v>532</v>
      </c>
      <c r="B15" s="2748"/>
      <c r="C15" s="2748"/>
      <c r="D15" s="2748"/>
      <c r="E15" s="2748"/>
      <c r="F15" s="2748"/>
    </row>
    <row r="17" spans="1:6" ht="57.75" customHeight="1">
      <c r="A17" s="2747" t="s">
        <v>533</v>
      </c>
      <c r="B17" s="2748"/>
      <c r="C17" s="2748"/>
      <c r="D17" s="2748"/>
      <c r="E17" s="2748"/>
      <c r="F17" s="2748"/>
    </row>
    <row r="19" spans="1:6" ht="33.75" customHeight="1">
      <c r="A19" s="2747" t="s">
        <v>886</v>
      </c>
      <c r="B19" s="2748"/>
      <c r="C19" s="2748"/>
      <c r="D19" s="2748"/>
      <c r="E19" s="2748"/>
      <c r="F19" s="2748"/>
    </row>
    <row r="31" spans="1:6" ht="12.75" customHeight="1">
      <c r="A31" s="1"/>
      <c r="B31" s="1"/>
      <c r="C31" s="1"/>
      <c r="D31" s="1"/>
      <c r="E31" s="1"/>
      <c r="F31" s="1"/>
    </row>
    <row r="32" spans="1:6" ht="12.75" customHeight="1">
      <c r="A32" s="1"/>
      <c r="B32" s="1"/>
      <c r="C32" s="1"/>
      <c r="D32" s="1"/>
      <c r="E32" s="1"/>
      <c r="F32" s="1"/>
    </row>
    <row r="33" spans="1:6">
      <c r="A33" s="1" t="s">
        <v>1743</v>
      </c>
      <c r="B33" s="1"/>
      <c r="C33" s="1"/>
      <c r="D33" s="1"/>
      <c r="E33" s="1"/>
      <c r="F33" s="1"/>
    </row>
  </sheetData>
  <sheetProtection algorithmName="SHA-512" hashValue="pZW9sGheqO9cWPVkOUvKPXtC1IryRkcNZB83uXI+5r6bRxEHiDFQOGR9foA28AllM477FRYKqtQCiqTgktsO6g==" saltValue="xerbFpYUWyPNh55+nXCR7A==" spinCount="100000" sheet="1" objects="1" scenarios="1"/>
  <mergeCells count="6">
    <mergeCell ref="A15:F15"/>
    <mergeCell ref="A19:F19"/>
    <mergeCell ref="A17:F17"/>
    <mergeCell ref="C1:D1"/>
    <mergeCell ref="A3:F3"/>
    <mergeCell ref="A13:F13"/>
  </mergeCells>
  <dataValidations xWindow="44140" yWindow="40465" count="1">
    <dataValidation type="whole" allowBlank="1" showInputMessage="1" showErrorMessage="1" errorTitle="Erreur de saisie" error="Vous devez saisir une valeur entière" sqref="C7:D11">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88" firstPageNumber="0" orientation="portrait" r:id="rId1"/>
  <headerFooter alignWithMargins="0">
    <oddFooter>&amp;LRSU 2020 - Présentation au CTP&amp;R&amp;P/&amp;N
&amp;A</oddFooter>
  </headerFooter>
</worksheet>
</file>

<file path=xl/worksheets/sheet62.xml><?xml version="1.0" encoding="utf-8"?>
<worksheet xmlns="http://schemas.openxmlformats.org/spreadsheetml/2006/main" xmlns:r="http://schemas.openxmlformats.org/officeDocument/2006/relationships">
  <sheetPr codeName="Feuil54">
    <pageSetUpPr fitToPage="1"/>
  </sheetPr>
  <dimension ref="A1:IV70"/>
  <sheetViews>
    <sheetView showGridLines="0" zoomScaleNormal="85" workbookViewId="0"/>
  </sheetViews>
  <sheetFormatPr baseColWidth="10" defaultColWidth="10.85546875" defaultRowHeight="12.75" customHeight="1"/>
  <cols>
    <col min="1" max="1" width="19.140625" customWidth="1"/>
    <col min="2" max="7" width="10.85546875" customWidth="1"/>
    <col min="8" max="8" width="21.42578125" customWidth="1"/>
    <col min="9" max="24" width="11.42578125" customWidth="1"/>
  </cols>
  <sheetData>
    <row r="1" spans="1:24" s="1093" customFormat="1">
      <c r="D1" s="2245" t="s">
        <v>958</v>
      </c>
      <c r="E1" s="2245"/>
      <c r="I1"/>
      <c r="J1"/>
      <c r="K1"/>
      <c r="L1"/>
      <c r="M1"/>
      <c r="N1"/>
      <c r="O1"/>
      <c r="P1"/>
      <c r="Q1"/>
      <c r="R1"/>
      <c r="S1"/>
      <c r="T1"/>
      <c r="U1"/>
      <c r="V1"/>
      <c r="W1"/>
      <c r="X1"/>
    </row>
    <row r="2" spans="1:24" ht="13.5" thickBot="1"/>
    <row r="3" spans="1:24" s="1093" customFormat="1">
      <c r="A3" s="2760" t="s">
        <v>1233</v>
      </c>
      <c r="B3" s="2760"/>
      <c r="C3" s="2760"/>
      <c r="D3" s="2760"/>
      <c r="E3" s="2760"/>
      <c r="F3" s="2760"/>
      <c r="G3" s="2760"/>
      <c r="H3" s="2760"/>
      <c r="I3"/>
      <c r="J3"/>
      <c r="K3"/>
      <c r="L3"/>
      <c r="M3"/>
      <c r="N3"/>
      <c r="O3"/>
      <c r="P3"/>
      <c r="Q3"/>
      <c r="R3"/>
      <c r="S3"/>
      <c r="T3"/>
      <c r="U3"/>
      <c r="V3"/>
      <c r="W3"/>
      <c r="X3"/>
    </row>
    <row r="4" spans="1:24" s="1093" customFormat="1">
      <c r="A4" s="2761" t="s">
        <v>1211</v>
      </c>
      <c r="B4" s="2761"/>
      <c r="C4" s="2761"/>
      <c r="D4" s="2761"/>
      <c r="E4" s="2761"/>
      <c r="F4" s="2761"/>
      <c r="G4" s="2761"/>
      <c r="H4" s="2761"/>
      <c r="I4"/>
      <c r="J4"/>
      <c r="K4"/>
      <c r="L4"/>
      <c r="M4"/>
      <c r="N4"/>
      <c r="O4"/>
      <c r="P4"/>
      <c r="Q4"/>
      <c r="R4"/>
      <c r="S4"/>
      <c r="T4"/>
      <c r="U4"/>
      <c r="V4"/>
      <c r="W4"/>
      <c r="X4"/>
    </row>
    <row r="5" spans="1:24" s="1093" customFormat="1">
      <c r="A5" s="2761" t="s">
        <v>631</v>
      </c>
      <c r="B5" s="2761"/>
      <c r="C5" s="2761"/>
      <c r="D5" s="2761"/>
      <c r="E5" s="2761"/>
      <c r="F5" s="2761"/>
      <c r="G5" s="2761"/>
      <c r="H5" s="2761"/>
      <c r="I5"/>
      <c r="J5"/>
      <c r="K5"/>
      <c r="L5"/>
      <c r="M5"/>
      <c r="N5"/>
      <c r="O5"/>
      <c r="P5"/>
      <c r="Q5"/>
      <c r="R5"/>
      <c r="S5"/>
      <c r="T5"/>
      <c r="U5"/>
      <c r="V5"/>
      <c r="W5"/>
      <c r="X5"/>
    </row>
    <row r="6" spans="1:24" s="1138" customFormat="1" ht="13.5" thickBot="1">
      <c r="A6" s="2759" t="s">
        <v>632</v>
      </c>
      <c r="B6" s="2759"/>
      <c r="C6" s="2759"/>
      <c r="D6" s="2759"/>
      <c r="E6" s="2759"/>
      <c r="F6" s="2759"/>
      <c r="G6" s="2759"/>
      <c r="H6" s="2759"/>
      <c r="I6"/>
      <c r="J6"/>
      <c r="K6"/>
      <c r="L6"/>
      <c r="M6"/>
      <c r="N6"/>
      <c r="O6"/>
      <c r="P6"/>
      <c r="Q6"/>
      <c r="R6"/>
      <c r="S6"/>
      <c r="T6"/>
      <c r="U6"/>
      <c r="V6"/>
      <c r="W6"/>
      <c r="X6"/>
    </row>
    <row r="8" spans="1:24" s="1093" customFormat="1">
      <c r="A8" s="1139" t="s">
        <v>1334</v>
      </c>
      <c r="B8" s="1122"/>
      <c r="C8" s="1122"/>
      <c r="D8" s="1122"/>
      <c r="E8" s="1122"/>
      <c r="F8" s="1122"/>
      <c r="G8" s="1122"/>
      <c r="H8" s="1122"/>
      <c r="I8"/>
      <c r="J8"/>
      <c r="K8"/>
      <c r="L8"/>
      <c r="M8"/>
      <c r="N8"/>
      <c r="O8"/>
      <c r="P8"/>
      <c r="Q8"/>
      <c r="R8"/>
      <c r="S8"/>
      <c r="T8"/>
      <c r="U8"/>
      <c r="V8"/>
      <c r="W8"/>
      <c r="X8"/>
    </row>
    <row r="9" spans="1:24" s="1093" customFormat="1" ht="12.75" customHeight="1">
      <c r="A9" s="2244" t="s">
        <v>1048</v>
      </c>
      <c r="B9" s="2244"/>
      <c r="C9" s="2244"/>
      <c r="D9" s="2244"/>
      <c r="E9" s="2244"/>
      <c r="F9" s="2244"/>
      <c r="G9" s="2244"/>
      <c r="H9" s="2244"/>
      <c r="I9"/>
      <c r="J9"/>
      <c r="K9"/>
      <c r="L9"/>
      <c r="M9"/>
      <c r="N9"/>
      <c r="O9"/>
      <c r="P9"/>
      <c r="Q9"/>
      <c r="R9"/>
      <c r="S9"/>
      <c r="T9"/>
      <c r="U9"/>
      <c r="V9"/>
      <c r="W9"/>
      <c r="X9"/>
    </row>
    <row r="10" spans="1:24" s="1093" customFormat="1" ht="12.75" customHeight="1">
      <c r="A10" s="2242" t="s">
        <v>778</v>
      </c>
      <c r="B10" s="2242"/>
      <c r="C10" s="2242"/>
      <c r="D10" s="2242"/>
      <c r="E10" s="2242"/>
      <c r="F10" s="2242"/>
      <c r="G10" s="2242"/>
      <c r="H10" s="2242"/>
      <c r="I10"/>
      <c r="J10"/>
      <c r="K10"/>
      <c r="L10"/>
      <c r="M10"/>
      <c r="N10"/>
      <c r="O10"/>
      <c r="P10"/>
      <c r="Q10"/>
      <c r="R10"/>
      <c r="S10"/>
      <c r="T10"/>
      <c r="U10"/>
      <c r="V10"/>
      <c r="W10"/>
      <c r="X10"/>
    </row>
    <row r="11" spans="1:24" s="1093" customFormat="1" ht="14.1" customHeight="1">
      <c r="A11" s="2242" t="s">
        <v>2536</v>
      </c>
      <c r="B11" s="2242"/>
      <c r="C11" s="2242"/>
      <c r="D11" s="2242"/>
      <c r="E11" s="2242"/>
      <c r="F11" s="2242"/>
      <c r="G11" s="2242"/>
      <c r="H11" s="2242"/>
      <c r="I11"/>
      <c r="J11"/>
      <c r="K11"/>
      <c r="L11"/>
      <c r="M11"/>
      <c r="N11"/>
      <c r="O11"/>
      <c r="P11"/>
      <c r="Q11"/>
      <c r="R11"/>
      <c r="S11"/>
      <c r="T11"/>
      <c r="U11"/>
      <c r="V11"/>
      <c r="W11"/>
      <c r="X11"/>
    </row>
    <row r="13" spans="1:24" s="1093" customFormat="1" ht="25.5" customHeight="1">
      <c r="A13" s="2554" t="s">
        <v>2381</v>
      </c>
      <c r="B13" s="2554"/>
      <c r="C13" s="2554"/>
      <c r="D13" s="2554"/>
      <c r="E13" s="2554"/>
      <c r="F13" s="2554"/>
      <c r="G13" s="2554"/>
      <c r="H13" s="2554"/>
      <c r="I13"/>
      <c r="J13"/>
      <c r="K13"/>
      <c r="L13"/>
      <c r="M13"/>
      <c r="N13"/>
      <c r="O13"/>
      <c r="P13"/>
      <c r="Q13"/>
      <c r="R13"/>
      <c r="S13"/>
      <c r="T13"/>
      <c r="U13"/>
      <c r="V13"/>
      <c r="W13"/>
      <c r="X13"/>
    </row>
    <row r="14" spans="1:24" s="1093" customFormat="1" ht="25.5" customHeight="1">
      <c r="A14" s="2554" t="s">
        <v>2382</v>
      </c>
      <c r="B14" s="2554"/>
      <c r="C14" s="2554"/>
      <c r="D14" s="2554"/>
      <c r="E14" s="2554"/>
      <c r="F14" s="2554"/>
      <c r="G14" s="2554"/>
      <c r="H14" s="2554"/>
      <c r="I14"/>
      <c r="J14"/>
      <c r="K14"/>
      <c r="L14"/>
      <c r="M14"/>
      <c r="N14"/>
      <c r="O14"/>
      <c r="P14"/>
      <c r="Q14"/>
      <c r="R14"/>
      <c r="S14"/>
      <c r="T14"/>
      <c r="U14"/>
      <c r="V14"/>
      <c r="W14"/>
      <c r="X14"/>
    </row>
    <row r="15" spans="1:24" s="1093" customFormat="1" ht="15.95" customHeight="1">
      <c r="A15" s="2753" t="s">
        <v>779</v>
      </c>
      <c r="B15" s="2753"/>
      <c r="C15" s="2753"/>
      <c r="D15" s="2753"/>
      <c r="E15" s="2753"/>
      <c r="F15" s="2753"/>
      <c r="G15" s="2753"/>
      <c r="H15" s="2753"/>
      <c r="I15"/>
      <c r="J15"/>
      <c r="K15"/>
      <c r="L15"/>
      <c r="M15"/>
      <c r="N15"/>
      <c r="O15"/>
      <c r="P15"/>
      <c r="Q15"/>
      <c r="R15"/>
      <c r="S15"/>
      <c r="T15"/>
      <c r="U15"/>
      <c r="V15"/>
      <c r="W15"/>
      <c r="X15"/>
    </row>
    <row r="16" spans="1:24" s="1093" customFormat="1" ht="26.25" customHeight="1">
      <c r="A16" s="2758" t="s">
        <v>780</v>
      </c>
      <c r="B16" s="2259"/>
      <c r="C16" s="2259"/>
      <c r="D16" s="2259"/>
      <c r="E16" s="2259"/>
      <c r="F16" s="2259"/>
      <c r="G16" s="2259"/>
      <c r="H16" s="2259"/>
      <c r="I16"/>
      <c r="J16"/>
      <c r="K16"/>
      <c r="L16"/>
      <c r="M16"/>
      <c r="N16"/>
      <c r="O16"/>
      <c r="P16"/>
      <c r="Q16"/>
      <c r="R16"/>
      <c r="S16"/>
      <c r="T16"/>
      <c r="U16"/>
      <c r="V16"/>
      <c r="W16"/>
      <c r="X16"/>
    </row>
    <row r="17" spans="1:256" s="1093" customFormat="1" ht="25.5" customHeight="1">
      <c r="A17" s="2259" t="s">
        <v>781</v>
      </c>
      <c r="B17" s="2259"/>
      <c r="C17" s="2259"/>
      <c r="D17" s="2259"/>
      <c r="E17" s="2259"/>
      <c r="F17" s="2259"/>
      <c r="G17" s="2259"/>
      <c r="H17" s="2259"/>
      <c r="I17"/>
      <c r="J17"/>
      <c r="K17"/>
      <c r="L17"/>
      <c r="M17"/>
      <c r="N17"/>
      <c r="O17"/>
      <c r="P17"/>
      <c r="Q17"/>
      <c r="R17"/>
      <c r="S17"/>
      <c r="T17"/>
      <c r="U17"/>
      <c r="V17"/>
      <c r="W17"/>
      <c r="X17"/>
    </row>
    <row r="18" spans="1:256" s="1093" customFormat="1" ht="12.75" customHeight="1">
      <c r="A18" s="2259" t="s">
        <v>782</v>
      </c>
      <c r="B18" s="2259"/>
      <c r="C18" s="2259"/>
      <c r="D18" s="2259"/>
      <c r="E18" s="2259"/>
      <c r="F18" s="2259"/>
      <c r="G18" s="2259"/>
      <c r="H18" s="2259"/>
      <c r="I18"/>
      <c r="J18"/>
      <c r="K18"/>
      <c r="L18"/>
      <c r="M18"/>
      <c r="N18"/>
      <c r="O18"/>
      <c r="P18"/>
      <c r="Q18"/>
      <c r="R18"/>
      <c r="S18"/>
      <c r="T18"/>
      <c r="U18"/>
      <c r="V18"/>
      <c r="W18"/>
      <c r="X18"/>
    </row>
    <row r="19" spans="1:256" s="1093" customFormat="1" ht="12.75" customHeight="1">
      <c r="A19" s="2259" t="s">
        <v>783</v>
      </c>
      <c r="B19" s="2259"/>
      <c r="C19" s="2259"/>
      <c r="D19" s="2259"/>
      <c r="E19" s="2259"/>
      <c r="F19" s="2259"/>
      <c r="G19" s="2259"/>
      <c r="H19" s="2259"/>
      <c r="I19"/>
      <c r="J19"/>
      <c r="K19"/>
      <c r="L19"/>
      <c r="M19"/>
      <c r="N19"/>
      <c r="O19"/>
      <c r="P19"/>
      <c r="Q19"/>
      <c r="R19"/>
      <c r="S19"/>
      <c r="T19"/>
      <c r="U19"/>
      <c r="V19"/>
      <c r="W19"/>
      <c r="X19"/>
    </row>
    <row r="20" spans="1:256" s="1093" customFormat="1" ht="12.75" customHeight="1">
      <c r="A20" s="2259" t="s">
        <v>784</v>
      </c>
      <c r="B20" s="2259"/>
      <c r="C20" s="2259"/>
      <c r="D20" s="2259"/>
      <c r="E20" s="2259"/>
      <c r="F20" s="2259"/>
      <c r="G20" s="2259"/>
      <c r="H20" s="2259"/>
      <c r="I20"/>
      <c r="J20"/>
      <c r="K20"/>
      <c r="L20"/>
      <c r="M20"/>
      <c r="N20"/>
      <c r="O20"/>
      <c r="P20"/>
      <c r="Q20"/>
      <c r="R20"/>
      <c r="S20"/>
      <c r="T20"/>
      <c r="U20"/>
      <c r="V20"/>
      <c r="W20"/>
      <c r="X20"/>
    </row>
    <row r="21" spans="1:256" s="1093" customFormat="1" ht="12.75" customHeight="1">
      <c r="A21" s="2259" t="s">
        <v>785</v>
      </c>
      <c r="B21" s="2259"/>
      <c r="C21" s="2259"/>
      <c r="D21" s="2259"/>
      <c r="E21" s="2259"/>
      <c r="F21" s="2259"/>
      <c r="G21" s="2259"/>
      <c r="H21" s="2259"/>
      <c r="I21"/>
      <c r="J21"/>
      <c r="K21"/>
      <c r="L21"/>
      <c r="M21"/>
      <c r="N21"/>
      <c r="O21"/>
      <c r="P21"/>
      <c r="Q21"/>
      <c r="R21"/>
      <c r="S21"/>
      <c r="T21"/>
      <c r="U21"/>
      <c r="V21"/>
      <c r="W21"/>
      <c r="X21"/>
    </row>
    <row r="23" spans="1:256" s="1093" customFormat="1" ht="24.75" customHeight="1">
      <c r="A23" s="2757" t="s">
        <v>1846</v>
      </c>
      <c r="B23" s="2757"/>
      <c r="C23" s="2757"/>
      <c r="D23" s="2757"/>
      <c r="E23" s="2757"/>
      <c r="F23" s="2757"/>
      <c r="G23" s="2757"/>
      <c r="H23" s="2757"/>
      <c r="I23"/>
      <c r="J23"/>
      <c r="K23"/>
      <c r="L23"/>
      <c r="M23"/>
      <c r="N23"/>
      <c r="O23"/>
      <c r="P23"/>
      <c r="Q23"/>
      <c r="R23"/>
      <c r="S23"/>
      <c r="T23"/>
      <c r="U23"/>
      <c r="V23"/>
      <c r="W23"/>
      <c r="X23"/>
    </row>
    <row r="25" spans="1:256" s="1093" customFormat="1" ht="25.5" customHeight="1">
      <c r="A25" s="2242" t="s">
        <v>786</v>
      </c>
      <c r="B25" s="2242"/>
      <c r="C25" s="2242"/>
      <c r="D25" s="2242"/>
      <c r="E25" s="2242"/>
      <c r="F25" s="2242"/>
      <c r="G25" s="2242"/>
      <c r="H25" s="2242"/>
      <c r="I25"/>
      <c r="J25"/>
      <c r="K25"/>
      <c r="L25"/>
      <c r="M25"/>
      <c r="N25"/>
      <c r="O25"/>
      <c r="P25"/>
      <c r="Q25"/>
      <c r="R25"/>
      <c r="S25"/>
      <c r="T25"/>
      <c r="U25"/>
      <c r="V25"/>
      <c r="W25"/>
      <c r="X25"/>
    </row>
    <row r="28" spans="1:256" s="1093" customFormat="1">
      <c r="A28" s="1140" t="s">
        <v>1335</v>
      </c>
      <c r="B28" s="1096"/>
      <c r="C28" s="1096"/>
      <c r="D28" s="1096"/>
      <c r="E28" s="1096"/>
      <c r="F28" s="1096"/>
      <c r="G28" s="1096"/>
      <c r="H28" s="1096"/>
      <c r="I28"/>
      <c r="J28"/>
      <c r="K28"/>
      <c r="L28"/>
      <c r="M28"/>
      <c r="N28"/>
      <c r="O28"/>
      <c r="P28"/>
      <c r="Q28"/>
      <c r="R28"/>
      <c r="S28"/>
      <c r="T28"/>
      <c r="U28"/>
      <c r="V28"/>
      <c r="W28"/>
      <c r="X28"/>
    </row>
    <row r="29" spans="1:256" s="1093" customFormat="1" ht="12.75" customHeight="1">
      <c r="A29" s="2244" t="s">
        <v>1379</v>
      </c>
      <c r="B29" s="2244"/>
      <c r="C29" s="2244"/>
      <c r="D29" s="2244"/>
      <c r="E29" s="2244"/>
      <c r="F29" s="2244"/>
      <c r="G29" s="2244"/>
      <c r="H29" s="2244"/>
      <c r="I29"/>
      <c r="J29"/>
      <c r="K29"/>
      <c r="L29"/>
      <c r="M29"/>
      <c r="N29"/>
      <c r="O29"/>
      <c r="P29"/>
      <c r="Q29"/>
      <c r="R29"/>
      <c r="S29"/>
      <c r="T29"/>
      <c r="U29"/>
      <c r="V29"/>
      <c r="W29"/>
      <c r="X29"/>
    </row>
    <row r="30" spans="1:256" s="1098" customFormat="1" ht="12.75" customHeight="1">
      <c r="A30" s="2259" t="s">
        <v>787</v>
      </c>
      <c r="B30" s="2259"/>
      <c r="C30" s="2259"/>
      <c r="D30" s="2259"/>
      <c r="E30" s="2259"/>
      <c r="F30" s="2259"/>
      <c r="G30" s="2259"/>
      <c r="H30" s="2259"/>
      <c r="I30"/>
      <c r="J30"/>
      <c r="K30"/>
      <c r="L30"/>
      <c r="M30"/>
      <c r="N30"/>
      <c r="O30"/>
      <c r="P30"/>
      <c r="Q30"/>
      <c r="R30"/>
      <c r="S30"/>
      <c r="T30"/>
      <c r="U30"/>
      <c r="V30"/>
      <c r="W30"/>
      <c r="X30"/>
      <c r="Y30" s="1097"/>
      <c r="Z30" s="1097"/>
      <c r="AA30" s="1097"/>
      <c r="AB30" s="1097"/>
      <c r="AC30" s="1097"/>
      <c r="AD30" s="1097"/>
      <c r="AE30" s="1097"/>
      <c r="AF30" s="1097"/>
      <c r="AG30" s="1097"/>
      <c r="AH30" s="1097"/>
      <c r="AI30" s="1097"/>
      <c r="AJ30" s="1097"/>
      <c r="AK30" s="1097"/>
      <c r="AL30" s="1097"/>
      <c r="AM30" s="1097"/>
      <c r="AN30" s="1097"/>
      <c r="AO30" s="1097"/>
      <c r="AP30" s="1097"/>
      <c r="AQ30" s="1097"/>
      <c r="AR30" s="1097"/>
      <c r="AS30" s="1097"/>
      <c r="AT30" s="1097"/>
      <c r="AU30" s="1097"/>
      <c r="AV30" s="1097"/>
      <c r="AW30" s="1097"/>
      <c r="AX30" s="1097"/>
      <c r="AY30" s="1097"/>
      <c r="AZ30" s="1097"/>
      <c r="BA30" s="1097"/>
      <c r="BB30" s="1097"/>
      <c r="BC30" s="1097"/>
      <c r="BD30" s="1097"/>
      <c r="BE30" s="1097"/>
      <c r="BF30" s="1097"/>
      <c r="BG30" s="1097"/>
      <c r="BH30" s="1097"/>
      <c r="BI30" s="1097"/>
      <c r="BJ30" s="1097"/>
      <c r="BK30" s="1097"/>
      <c r="BL30" s="1097"/>
      <c r="BM30" s="1097"/>
      <c r="BN30" s="1097"/>
      <c r="BO30" s="1097"/>
      <c r="BP30" s="1097"/>
      <c r="BQ30" s="1097"/>
      <c r="BR30" s="1097"/>
      <c r="BS30" s="1097"/>
      <c r="BT30" s="1097"/>
      <c r="BU30" s="1097"/>
      <c r="BV30" s="1097"/>
      <c r="BW30" s="1097"/>
      <c r="BX30" s="1097"/>
      <c r="BY30" s="1097"/>
      <c r="BZ30" s="1097"/>
      <c r="CA30" s="1097"/>
      <c r="CB30" s="1097"/>
      <c r="CC30" s="1097"/>
      <c r="CD30" s="1097"/>
      <c r="CE30" s="1097"/>
      <c r="CF30" s="1097"/>
      <c r="CG30" s="1097"/>
      <c r="CH30" s="1097"/>
      <c r="CI30" s="1097"/>
      <c r="CJ30" s="1097"/>
      <c r="CK30" s="1097"/>
      <c r="CL30" s="1097"/>
      <c r="CM30" s="1097"/>
      <c r="CN30" s="1097"/>
      <c r="CO30" s="1097"/>
      <c r="CP30" s="1097"/>
      <c r="CQ30" s="1097"/>
      <c r="CR30" s="1097"/>
      <c r="CS30" s="1097"/>
      <c r="CT30" s="1097"/>
      <c r="CU30" s="1097"/>
      <c r="CV30" s="1097"/>
      <c r="CW30" s="1097"/>
      <c r="CX30" s="1097"/>
      <c r="CY30" s="1097"/>
      <c r="CZ30" s="1097"/>
      <c r="DA30" s="1097"/>
      <c r="DB30" s="1097"/>
      <c r="DC30" s="1097"/>
      <c r="DD30" s="1097"/>
      <c r="DE30" s="1097"/>
      <c r="DF30" s="1097"/>
      <c r="DG30" s="1097"/>
      <c r="DH30" s="1097"/>
      <c r="DI30" s="1097"/>
      <c r="DJ30" s="1097"/>
      <c r="DK30" s="1097"/>
      <c r="DL30" s="1097"/>
      <c r="DM30" s="1097"/>
      <c r="DN30" s="1097"/>
      <c r="DO30" s="1097"/>
      <c r="DP30" s="1097"/>
      <c r="DQ30" s="1097"/>
      <c r="DR30" s="1097"/>
      <c r="DS30" s="1097"/>
      <c r="DT30" s="1097"/>
      <c r="DU30" s="1097"/>
      <c r="DV30" s="1097"/>
      <c r="DW30" s="1097"/>
      <c r="DX30" s="1097"/>
      <c r="DY30" s="1097"/>
      <c r="DZ30" s="1097"/>
      <c r="EA30" s="1097"/>
      <c r="EB30" s="1097"/>
      <c r="EC30" s="1097"/>
      <c r="ED30" s="1097"/>
      <c r="EE30" s="1097"/>
      <c r="EF30" s="1097"/>
      <c r="EG30" s="1097"/>
      <c r="EH30" s="1097"/>
      <c r="EI30" s="1097"/>
      <c r="EJ30" s="1097"/>
      <c r="EK30" s="1097"/>
      <c r="EL30" s="1097"/>
      <c r="EM30" s="1097"/>
      <c r="EN30" s="1097"/>
      <c r="EO30" s="1097"/>
      <c r="EP30" s="1097"/>
      <c r="EQ30" s="1097"/>
      <c r="ER30" s="1097"/>
      <c r="ES30" s="1097"/>
      <c r="ET30" s="1097"/>
      <c r="EU30" s="1097"/>
      <c r="EV30" s="1097"/>
      <c r="EW30" s="1097"/>
      <c r="EX30" s="1097"/>
      <c r="EY30" s="1097"/>
      <c r="EZ30" s="1097"/>
      <c r="FA30" s="1097"/>
      <c r="FB30" s="1097"/>
      <c r="FC30" s="1097"/>
      <c r="FD30" s="1097"/>
      <c r="FE30" s="1097"/>
      <c r="FF30" s="1097"/>
      <c r="FG30" s="1097"/>
      <c r="FH30" s="1097"/>
      <c r="FI30" s="1097"/>
      <c r="FJ30" s="1097"/>
      <c r="FK30" s="1097"/>
      <c r="FL30" s="1097"/>
      <c r="FM30" s="1097"/>
      <c r="FN30" s="1097"/>
      <c r="FO30" s="1097"/>
      <c r="FP30" s="1097"/>
      <c r="FQ30" s="1097"/>
      <c r="FR30" s="1097"/>
      <c r="FS30" s="1097"/>
      <c r="FT30" s="1097"/>
      <c r="FU30" s="1097"/>
      <c r="FV30" s="1097"/>
      <c r="FW30" s="1097"/>
      <c r="FX30" s="1097"/>
      <c r="FY30" s="1097"/>
      <c r="FZ30" s="1097"/>
      <c r="GA30" s="1097"/>
      <c r="GB30" s="1097"/>
      <c r="GC30" s="1097"/>
      <c r="GD30" s="1097"/>
      <c r="GE30" s="1097"/>
      <c r="GF30" s="1097"/>
      <c r="GG30" s="1097"/>
      <c r="GH30" s="1097"/>
      <c r="GI30" s="1097"/>
      <c r="GJ30" s="1097"/>
      <c r="GK30" s="1097"/>
      <c r="GL30" s="1097"/>
      <c r="GM30" s="1097"/>
      <c r="GN30" s="1097"/>
      <c r="GO30" s="1097"/>
      <c r="GP30" s="1097"/>
      <c r="GQ30" s="1097"/>
      <c r="GR30" s="1097"/>
      <c r="GS30" s="1097"/>
      <c r="GT30" s="1097"/>
      <c r="GU30" s="1097"/>
      <c r="GV30" s="1097"/>
      <c r="GW30" s="1097"/>
      <c r="GX30" s="1097"/>
      <c r="GY30" s="1097"/>
      <c r="GZ30" s="1097"/>
      <c r="HA30" s="1097"/>
      <c r="HB30" s="1097"/>
      <c r="HC30" s="1097"/>
      <c r="HD30" s="1097"/>
      <c r="HE30" s="1097"/>
      <c r="HF30" s="1097"/>
      <c r="HG30" s="1097"/>
      <c r="HH30" s="1097"/>
      <c r="HI30" s="1097"/>
      <c r="HJ30" s="1097"/>
      <c r="HK30" s="1097"/>
      <c r="HL30" s="1097"/>
      <c r="HM30" s="1097"/>
      <c r="HN30" s="1097"/>
      <c r="HO30" s="1097"/>
      <c r="HP30" s="1097"/>
      <c r="HQ30" s="1097"/>
      <c r="HR30" s="1097"/>
      <c r="HS30" s="1097"/>
      <c r="HT30" s="1097"/>
      <c r="HU30" s="1097"/>
      <c r="HV30" s="1097"/>
      <c r="HW30" s="1097"/>
      <c r="HX30" s="1097"/>
      <c r="HY30" s="1097"/>
      <c r="HZ30" s="1097"/>
      <c r="IA30" s="1097"/>
      <c r="IB30" s="1097"/>
      <c r="IC30" s="1097"/>
      <c r="ID30" s="1097"/>
      <c r="IE30" s="1097"/>
      <c r="IF30" s="1097"/>
      <c r="IG30" s="1097"/>
      <c r="IH30" s="1097"/>
      <c r="II30" s="1097"/>
      <c r="IJ30" s="1097"/>
      <c r="IK30" s="1097"/>
      <c r="IL30" s="1097"/>
      <c r="IM30" s="1097"/>
      <c r="IN30" s="1097"/>
      <c r="IO30" s="1097"/>
      <c r="IP30" s="1097"/>
      <c r="IQ30" s="1097"/>
      <c r="IR30" s="1097"/>
      <c r="IS30" s="1097"/>
      <c r="IT30" s="1097"/>
      <c r="IU30" s="1097"/>
      <c r="IV30" s="1097"/>
    </row>
    <row r="31" spans="1:256" s="1098" customFormat="1" ht="12.75" customHeight="1">
      <c r="A31" s="2259" t="s">
        <v>2537</v>
      </c>
      <c r="B31" s="2259"/>
      <c r="C31" s="2259"/>
      <c r="D31" s="2259"/>
      <c r="E31" s="2259"/>
      <c r="F31" s="2259"/>
      <c r="G31" s="2259"/>
      <c r="H31" s="2259"/>
      <c r="I31"/>
      <c r="J31"/>
      <c r="K31"/>
      <c r="L31"/>
      <c r="M31"/>
      <c r="N31"/>
      <c r="O31"/>
      <c r="P31"/>
      <c r="Q31"/>
      <c r="R31"/>
      <c r="S31"/>
      <c r="T31"/>
      <c r="U31"/>
      <c r="V31"/>
      <c r="W31"/>
      <c r="X31"/>
      <c r="Y31" s="1097"/>
      <c r="Z31" s="1097"/>
      <c r="AA31" s="1097"/>
      <c r="AB31" s="1097"/>
      <c r="AC31" s="1097"/>
      <c r="AD31" s="1097"/>
      <c r="AE31" s="1097"/>
      <c r="AF31" s="1097"/>
      <c r="AG31" s="1097"/>
      <c r="AH31" s="1097"/>
      <c r="AI31" s="1097"/>
      <c r="AJ31" s="1097"/>
      <c r="AK31" s="1097"/>
      <c r="AL31" s="1097"/>
      <c r="AM31" s="1097"/>
      <c r="AN31" s="1097"/>
      <c r="AO31" s="1097"/>
      <c r="AP31" s="1097"/>
      <c r="AQ31" s="1097"/>
      <c r="AR31" s="1097"/>
      <c r="AS31" s="1097"/>
      <c r="AT31" s="1097"/>
      <c r="AU31" s="1097"/>
      <c r="AV31" s="1097"/>
      <c r="AW31" s="1097"/>
      <c r="AX31" s="1097"/>
      <c r="AY31" s="1097"/>
      <c r="AZ31" s="1097"/>
      <c r="BA31" s="1097"/>
      <c r="BB31" s="1097"/>
      <c r="BC31" s="1097"/>
      <c r="BD31" s="1097"/>
      <c r="BE31" s="1097"/>
      <c r="BF31" s="1097"/>
      <c r="BG31" s="1097"/>
      <c r="BH31" s="1097"/>
      <c r="BI31" s="1097"/>
      <c r="BJ31" s="1097"/>
      <c r="BK31" s="1097"/>
      <c r="BL31" s="1097"/>
      <c r="BM31" s="1097"/>
      <c r="BN31" s="1097"/>
      <c r="BO31" s="1097"/>
      <c r="BP31" s="1097"/>
      <c r="BQ31" s="1097"/>
      <c r="BR31" s="1097"/>
      <c r="BS31" s="1097"/>
      <c r="BT31" s="1097"/>
      <c r="BU31" s="1097"/>
      <c r="BV31" s="1097"/>
      <c r="BW31" s="1097"/>
      <c r="BX31" s="1097"/>
      <c r="BY31" s="1097"/>
      <c r="BZ31" s="1097"/>
      <c r="CA31" s="1097"/>
      <c r="CB31" s="1097"/>
      <c r="CC31" s="1097"/>
      <c r="CD31" s="1097"/>
      <c r="CE31" s="1097"/>
      <c r="CF31" s="1097"/>
      <c r="CG31" s="1097"/>
      <c r="CH31" s="1097"/>
      <c r="CI31" s="1097"/>
      <c r="CJ31" s="1097"/>
      <c r="CK31" s="1097"/>
      <c r="CL31" s="1097"/>
      <c r="CM31" s="1097"/>
      <c r="CN31" s="1097"/>
      <c r="CO31" s="1097"/>
      <c r="CP31" s="1097"/>
      <c r="CQ31" s="1097"/>
      <c r="CR31" s="1097"/>
      <c r="CS31" s="1097"/>
      <c r="CT31" s="1097"/>
      <c r="CU31" s="1097"/>
      <c r="CV31" s="1097"/>
      <c r="CW31" s="1097"/>
      <c r="CX31" s="1097"/>
      <c r="CY31" s="1097"/>
      <c r="CZ31" s="1097"/>
      <c r="DA31" s="1097"/>
      <c r="DB31" s="1097"/>
      <c r="DC31" s="1097"/>
      <c r="DD31" s="1097"/>
      <c r="DE31" s="1097"/>
      <c r="DF31" s="1097"/>
      <c r="DG31" s="1097"/>
      <c r="DH31" s="1097"/>
      <c r="DI31" s="1097"/>
      <c r="DJ31" s="1097"/>
      <c r="DK31" s="1097"/>
      <c r="DL31" s="1097"/>
      <c r="DM31" s="1097"/>
      <c r="DN31" s="1097"/>
      <c r="DO31" s="1097"/>
      <c r="DP31" s="1097"/>
      <c r="DQ31" s="1097"/>
      <c r="DR31" s="1097"/>
      <c r="DS31" s="1097"/>
      <c r="DT31" s="1097"/>
      <c r="DU31" s="1097"/>
      <c r="DV31" s="1097"/>
      <c r="DW31" s="1097"/>
      <c r="DX31" s="1097"/>
      <c r="DY31" s="1097"/>
      <c r="DZ31" s="1097"/>
      <c r="EA31" s="1097"/>
      <c r="EB31" s="1097"/>
      <c r="EC31" s="1097"/>
      <c r="ED31" s="1097"/>
      <c r="EE31" s="1097"/>
      <c r="EF31" s="1097"/>
      <c r="EG31" s="1097"/>
      <c r="EH31" s="1097"/>
      <c r="EI31" s="1097"/>
      <c r="EJ31" s="1097"/>
      <c r="EK31" s="1097"/>
      <c r="EL31" s="1097"/>
      <c r="EM31" s="1097"/>
      <c r="EN31" s="1097"/>
      <c r="EO31" s="1097"/>
      <c r="EP31" s="1097"/>
      <c r="EQ31" s="1097"/>
      <c r="ER31" s="1097"/>
      <c r="ES31" s="1097"/>
      <c r="ET31" s="1097"/>
      <c r="EU31" s="1097"/>
      <c r="EV31" s="1097"/>
      <c r="EW31" s="1097"/>
      <c r="EX31" s="1097"/>
      <c r="EY31" s="1097"/>
      <c r="EZ31" s="1097"/>
      <c r="FA31" s="1097"/>
      <c r="FB31" s="1097"/>
      <c r="FC31" s="1097"/>
      <c r="FD31" s="1097"/>
      <c r="FE31" s="1097"/>
      <c r="FF31" s="1097"/>
      <c r="FG31" s="1097"/>
      <c r="FH31" s="1097"/>
      <c r="FI31" s="1097"/>
      <c r="FJ31" s="1097"/>
      <c r="FK31" s="1097"/>
      <c r="FL31" s="1097"/>
      <c r="FM31" s="1097"/>
      <c r="FN31" s="1097"/>
      <c r="FO31" s="1097"/>
      <c r="FP31" s="1097"/>
      <c r="FQ31" s="1097"/>
      <c r="FR31" s="1097"/>
      <c r="FS31" s="1097"/>
      <c r="FT31" s="1097"/>
      <c r="FU31" s="1097"/>
      <c r="FV31" s="1097"/>
      <c r="FW31" s="1097"/>
      <c r="FX31" s="1097"/>
      <c r="FY31" s="1097"/>
      <c r="FZ31" s="1097"/>
      <c r="GA31" s="1097"/>
      <c r="GB31" s="1097"/>
      <c r="GC31" s="1097"/>
      <c r="GD31" s="1097"/>
      <c r="GE31" s="1097"/>
      <c r="GF31" s="1097"/>
      <c r="GG31" s="1097"/>
      <c r="GH31" s="1097"/>
      <c r="GI31" s="1097"/>
      <c r="GJ31" s="1097"/>
      <c r="GK31" s="1097"/>
      <c r="GL31" s="1097"/>
      <c r="GM31" s="1097"/>
      <c r="GN31" s="1097"/>
      <c r="GO31" s="1097"/>
      <c r="GP31" s="1097"/>
      <c r="GQ31" s="1097"/>
      <c r="GR31" s="1097"/>
      <c r="GS31" s="1097"/>
      <c r="GT31" s="1097"/>
      <c r="GU31" s="1097"/>
      <c r="GV31" s="1097"/>
      <c r="GW31" s="1097"/>
      <c r="GX31" s="1097"/>
      <c r="GY31" s="1097"/>
      <c r="GZ31" s="1097"/>
      <c r="HA31" s="1097"/>
      <c r="HB31" s="1097"/>
      <c r="HC31" s="1097"/>
      <c r="HD31" s="1097"/>
      <c r="HE31" s="1097"/>
      <c r="HF31" s="1097"/>
      <c r="HG31" s="1097"/>
      <c r="HH31" s="1097"/>
      <c r="HI31" s="1097"/>
      <c r="HJ31" s="1097"/>
      <c r="HK31" s="1097"/>
      <c r="HL31" s="1097"/>
      <c r="HM31" s="1097"/>
      <c r="HN31" s="1097"/>
      <c r="HO31" s="1097"/>
      <c r="HP31" s="1097"/>
      <c r="HQ31" s="1097"/>
      <c r="HR31" s="1097"/>
      <c r="HS31" s="1097"/>
      <c r="HT31" s="1097"/>
      <c r="HU31" s="1097"/>
      <c r="HV31" s="1097"/>
      <c r="HW31" s="1097"/>
      <c r="HX31" s="1097"/>
      <c r="HY31" s="1097"/>
      <c r="HZ31" s="1097"/>
      <c r="IA31" s="1097"/>
      <c r="IB31" s="1097"/>
      <c r="IC31" s="1097"/>
      <c r="ID31" s="1097"/>
      <c r="IE31" s="1097"/>
      <c r="IF31" s="1097"/>
      <c r="IG31" s="1097"/>
      <c r="IH31" s="1097"/>
      <c r="II31" s="1097"/>
      <c r="IJ31" s="1097"/>
      <c r="IK31" s="1097"/>
      <c r="IL31" s="1097"/>
      <c r="IM31" s="1097"/>
      <c r="IN31" s="1097"/>
      <c r="IO31" s="1097"/>
      <c r="IP31" s="1097"/>
      <c r="IQ31" s="1097"/>
      <c r="IR31" s="1097"/>
      <c r="IS31" s="1097"/>
      <c r="IT31" s="1097"/>
      <c r="IU31" s="1097"/>
      <c r="IV31" s="1097"/>
    </row>
    <row r="33" spans="1:24" s="1093" customFormat="1" ht="25.5" customHeight="1">
      <c r="A33" s="2554" t="s">
        <v>2383</v>
      </c>
      <c r="B33" s="2554"/>
      <c r="C33" s="2554"/>
      <c r="D33" s="2554"/>
      <c r="E33" s="2554"/>
      <c r="F33" s="2554"/>
      <c r="G33" s="2554"/>
      <c r="H33" s="2554"/>
      <c r="I33"/>
      <c r="J33"/>
      <c r="K33"/>
      <c r="L33"/>
      <c r="M33"/>
      <c r="N33"/>
      <c r="O33"/>
      <c r="P33"/>
      <c r="Q33"/>
      <c r="R33"/>
      <c r="S33"/>
      <c r="T33"/>
      <c r="U33"/>
      <c r="V33"/>
      <c r="W33"/>
      <c r="X33"/>
    </row>
    <row r="34" spans="1:24" s="1093" customFormat="1" ht="12.75" customHeight="1">
      <c r="A34" s="2753" t="s">
        <v>870</v>
      </c>
      <c r="B34" s="2753"/>
      <c r="C34" s="2753"/>
      <c r="D34" s="2753"/>
      <c r="E34" s="2753"/>
      <c r="F34" s="2753"/>
      <c r="G34" s="2753"/>
      <c r="H34" s="2753"/>
      <c r="I34"/>
      <c r="J34"/>
      <c r="K34"/>
      <c r="L34"/>
      <c r="M34"/>
      <c r="N34"/>
      <c r="O34"/>
      <c r="P34"/>
      <c r="Q34"/>
      <c r="R34"/>
      <c r="S34"/>
      <c r="T34"/>
      <c r="U34"/>
      <c r="V34"/>
      <c r="W34"/>
      <c r="X34"/>
    </row>
    <row r="35" spans="1:24" s="1093" customFormat="1" ht="25.5" customHeight="1">
      <c r="A35" s="2259" t="s">
        <v>788</v>
      </c>
      <c r="B35" s="2259"/>
      <c r="C35" s="2259"/>
      <c r="D35" s="2259"/>
      <c r="E35" s="2259"/>
      <c r="F35" s="2259"/>
      <c r="G35" s="2259"/>
      <c r="H35" s="2259"/>
      <c r="I35"/>
      <c r="J35"/>
      <c r="K35"/>
      <c r="L35"/>
      <c r="M35"/>
      <c r="N35"/>
      <c r="O35"/>
      <c r="P35"/>
      <c r="Q35"/>
      <c r="R35"/>
      <c r="S35"/>
      <c r="T35"/>
      <c r="U35"/>
      <c r="V35"/>
      <c r="W35"/>
      <c r="X35"/>
    </row>
    <row r="36" spans="1:24" s="1093" customFormat="1" ht="12.75" customHeight="1">
      <c r="A36" s="2259" t="s">
        <v>789</v>
      </c>
      <c r="B36" s="2259"/>
      <c r="C36" s="2259"/>
      <c r="D36" s="2259"/>
      <c r="E36" s="2259"/>
      <c r="F36" s="2259"/>
      <c r="G36" s="2259"/>
      <c r="H36" s="2259"/>
      <c r="I36"/>
      <c r="J36"/>
      <c r="K36"/>
      <c r="L36"/>
      <c r="M36"/>
      <c r="N36"/>
      <c r="O36"/>
      <c r="P36"/>
      <c r="Q36"/>
      <c r="R36"/>
      <c r="S36"/>
      <c r="T36"/>
      <c r="U36"/>
      <c r="V36"/>
      <c r="W36"/>
      <c r="X36"/>
    </row>
    <row r="37" spans="1:24" s="1093" customFormat="1" ht="12.75" customHeight="1">
      <c r="A37" s="2259" t="s">
        <v>790</v>
      </c>
      <c r="B37" s="2259"/>
      <c r="C37" s="2259"/>
      <c r="D37" s="2259"/>
      <c r="E37" s="2259"/>
      <c r="F37" s="2259"/>
      <c r="G37" s="2259"/>
      <c r="H37" s="2259"/>
      <c r="I37"/>
      <c r="J37"/>
      <c r="K37"/>
      <c r="L37"/>
      <c r="M37"/>
      <c r="N37"/>
      <c r="O37"/>
      <c r="P37"/>
      <c r="Q37"/>
      <c r="R37"/>
      <c r="S37"/>
      <c r="T37"/>
      <c r="U37"/>
      <c r="V37"/>
      <c r="W37"/>
      <c r="X37"/>
    </row>
    <row r="38" spans="1:24" s="1093" customFormat="1">
      <c r="A38"/>
      <c r="B38"/>
      <c r="C38"/>
      <c r="D38"/>
      <c r="E38"/>
      <c r="F38"/>
      <c r="G38"/>
      <c r="H38"/>
      <c r="I38"/>
      <c r="J38"/>
      <c r="K38"/>
      <c r="L38"/>
      <c r="M38"/>
      <c r="N38"/>
      <c r="O38"/>
      <c r="P38"/>
      <c r="Q38"/>
      <c r="R38"/>
      <c r="S38"/>
      <c r="T38"/>
      <c r="U38"/>
      <c r="V38"/>
      <c r="W38"/>
      <c r="X38"/>
    </row>
    <row r="39" spans="1:24" s="1093" customFormat="1" ht="25.5" customHeight="1">
      <c r="A39" s="2757" t="s">
        <v>1847</v>
      </c>
      <c r="B39" s="2757"/>
      <c r="C39" s="2757"/>
      <c r="D39" s="2757"/>
      <c r="E39" s="2757"/>
      <c r="F39" s="2757"/>
      <c r="G39" s="2757"/>
      <c r="H39" s="2757"/>
      <c r="I39"/>
      <c r="J39"/>
      <c r="K39"/>
      <c r="L39"/>
      <c r="M39"/>
      <c r="N39"/>
      <c r="O39"/>
      <c r="P39"/>
      <c r="Q39"/>
      <c r="R39"/>
      <c r="S39"/>
      <c r="T39"/>
      <c r="U39"/>
      <c r="V39"/>
      <c r="W39"/>
      <c r="X39"/>
    </row>
    <row r="40" spans="1:24" s="1093" customFormat="1" ht="12.75" customHeight="1">
      <c r="A40"/>
      <c r="B40"/>
      <c r="C40"/>
      <c r="D40"/>
      <c r="E40"/>
      <c r="F40"/>
      <c r="G40"/>
      <c r="H40"/>
      <c r="I40"/>
      <c r="J40"/>
      <c r="K40"/>
      <c r="L40"/>
      <c r="M40"/>
      <c r="N40"/>
      <c r="O40"/>
      <c r="P40"/>
      <c r="Q40"/>
      <c r="R40"/>
      <c r="S40"/>
      <c r="T40"/>
      <c r="U40"/>
      <c r="V40"/>
      <c r="W40"/>
      <c r="X40"/>
    </row>
    <row r="41" spans="1:24" s="1093" customFormat="1" ht="25.5" customHeight="1">
      <c r="A41" s="2242" t="s">
        <v>786</v>
      </c>
      <c r="B41" s="2242"/>
      <c r="C41" s="2242"/>
      <c r="D41" s="2242"/>
      <c r="E41" s="2242"/>
      <c r="F41" s="2242"/>
      <c r="G41" s="2242"/>
      <c r="H41" s="2242"/>
      <c r="I41"/>
      <c r="J41"/>
      <c r="K41"/>
      <c r="L41"/>
      <c r="M41"/>
      <c r="N41"/>
      <c r="O41"/>
      <c r="P41"/>
      <c r="Q41"/>
      <c r="R41"/>
      <c r="S41"/>
      <c r="T41"/>
      <c r="U41"/>
      <c r="V41"/>
      <c r="W41"/>
      <c r="X41"/>
    </row>
    <row r="42" spans="1:24" s="1093" customFormat="1" ht="12.75" customHeight="1">
      <c r="A42"/>
      <c r="B42"/>
      <c r="C42"/>
      <c r="D42"/>
      <c r="E42"/>
      <c r="F42"/>
      <c r="G42"/>
      <c r="H42"/>
      <c r="I42"/>
      <c r="J42"/>
      <c r="K42"/>
      <c r="L42"/>
      <c r="M42"/>
      <c r="N42"/>
      <c r="O42"/>
      <c r="P42"/>
      <c r="Q42"/>
      <c r="R42"/>
      <c r="S42"/>
      <c r="T42"/>
      <c r="U42"/>
      <c r="V42"/>
      <c r="W42"/>
      <c r="X42"/>
    </row>
    <row r="43" spans="1:24" s="1093" customFormat="1" ht="12.75" customHeight="1">
      <c r="A43"/>
      <c r="B43"/>
      <c r="C43"/>
      <c r="D43"/>
      <c r="E43"/>
      <c r="F43"/>
      <c r="G43"/>
      <c r="H43"/>
      <c r="I43"/>
      <c r="J43"/>
      <c r="K43"/>
      <c r="L43"/>
      <c r="M43"/>
      <c r="N43"/>
      <c r="O43"/>
      <c r="P43"/>
      <c r="Q43"/>
      <c r="R43"/>
      <c r="S43"/>
      <c r="T43"/>
      <c r="U43"/>
      <c r="V43"/>
      <c r="W43"/>
      <c r="X43"/>
    </row>
    <row r="44" spans="1:24" s="1093" customFormat="1">
      <c r="A44" s="1140" t="s">
        <v>2252</v>
      </c>
      <c r="B44" s="1096"/>
      <c r="C44" s="1096"/>
      <c r="D44" s="1096"/>
      <c r="E44" s="1096"/>
      <c r="F44" s="1096"/>
      <c r="G44" s="1096"/>
      <c r="H44" s="1096"/>
      <c r="I44"/>
      <c r="J44"/>
      <c r="K44"/>
      <c r="L44"/>
      <c r="M44"/>
      <c r="N44"/>
      <c r="O44"/>
      <c r="P44"/>
      <c r="Q44"/>
      <c r="R44"/>
      <c r="S44"/>
      <c r="T44"/>
      <c r="U44"/>
      <c r="V44"/>
      <c r="W44"/>
      <c r="X44"/>
    </row>
    <row r="45" spans="1:24" s="1093" customFormat="1" ht="12.75" customHeight="1">
      <c r="A45" s="2244" t="s">
        <v>2260</v>
      </c>
      <c r="B45" s="2244"/>
      <c r="C45" s="2244"/>
      <c r="D45" s="2244"/>
      <c r="E45" s="2244"/>
      <c r="F45" s="2244"/>
      <c r="G45" s="2244"/>
      <c r="H45" s="2244"/>
      <c r="I45"/>
      <c r="J45"/>
      <c r="K45"/>
      <c r="L45"/>
      <c r="M45"/>
      <c r="N45"/>
      <c r="O45"/>
      <c r="P45"/>
      <c r="Q45"/>
      <c r="R45"/>
      <c r="S45"/>
      <c r="T45"/>
      <c r="U45"/>
      <c r="V45"/>
      <c r="W45"/>
      <c r="X45"/>
    </row>
    <row r="46" spans="1:24" s="1093" customFormat="1" ht="12.75" customHeight="1">
      <c r="A46" s="2259" t="s">
        <v>791</v>
      </c>
      <c r="B46" s="2259"/>
      <c r="C46" s="2259"/>
      <c r="D46" s="2259"/>
      <c r="E46" s="2259"/>
      <c r="F46" s="2259"/>
      <c r="G46" s="2259"/>
      <c r="H46" s="2259"/>
      <c r="I46"/>
      <c r="J46"/>
      <c r="K46"/>
      <c r="L46"/>
      <c r="M46"/>
      <c r="N46"/>
      <c r="O46"/>
      <c r="P46"/>
      <c r="Q46"/>
      <c r="R46"/>
      <c r="S46"/>
      <c r="T46"/>
      <c r="U46"/>
      <c r="V46"/>
      <c r="W46"/>
      <c r="X46"/>
    </row>
    <row r="47" spans="1:24" s="1093" customFormat="1" ht="12.75" customHeight="1">
      <c r="A47" s="2259" t="s">
        <v>2538</v>
      </c>
      <c r="B47" s="2259"/>
      <c r="C47" s="2259"/>
      <c r="D47" s="2259"/>
      <c r="E47" s="2259"/>
      <c r="F47" s="2259"/>
      <c r="G47" s="2259"/>
      <c r="H47" s="2259"/>
      <c r="I47"/>
      <c r="J47"/>
      <c r="K47"/>
      <c r="L47"/>
      <c r="M47"/>
      <c r="N47"/>
      <c r="O47"/>
      <c r="P47"/>
      <c r="Q47"/>
      <c r="R47"/>
      <c r="S47"/>
      <c r="T47"/>
      <c r="U47"/>
      <c r="V47"/>
      <c r="W47"/>
      <c r="X47"/>
    </row>
    <row r="48" spans="1:24" s="1093" customFormat="1">
      <c r="A48"/>
      <c r="B48"/>
      <c r="C48"/>
      <c r="D48"/>
      <c r="E48"/>
      <c r="F48"/>
      <c r="G48"/>
      <c r="H48"/>
      <c r="I48"/>
      <c r="J48"/>
      <c r="K48"/>
      <c r="L48"/>
      <c r="M48"/>
      <c r="N48"/>
      <c r="O48"/>
      <c r="P48"/>
      <c r="Q48"/>
      <c r="R48"/>
      <c r="S48"/>
      <c r="T48"/>
      <c r="U48"/>
      <c r="V48"/>
      <c r="W48"/>
      <c r="X48"/>
    </row>
    <row r="49" spans="1:24" s="1093" customFormat="1" ht="12.75" customHeight="1">
      <c r="A49" s="2244" t="s">
        <v>1367</v>
      </c>
      <c r="B49" s="2244"/>
      <c r="C49" s="2244"/>
      <c r="D49" s="2244"/>
      <c r="E49" s="2244"/>
      <c r="F49" s="2244"/>
      <c r="G49" s="2244"/>
      <c r="H49" s="2244"/>
      <c r="I49"/>
      <c r="J49"/>
      <c r="K49"/>
      <c r="L49"/>
      <c r="M49"/>
      <c r="N49"/>
      <c r="O49"/>
      <c r="P49"/>
      <c r="Q49"/>
      <c r="R49"/>
      <c r="S49"/>
      <c r="T49"/>
      <c r="U49"/>
      <c r="V49"/>
      <c r="W49"/>
      <c r="X49"/>
    </row>
    <row r="50" spans="1:24" s="1093" customFormat="1" ht="12.75" customHeight="1">
      <c r="A50" s="2259" t="s">
        <v>2253</v>
      </c>
      <c r="B50" s="2259"/>
      <c r="C50" s="2259"/>
      <c r="D50" s="2259"/>
      <c r="E50" s="2259"/>
      <c r="F50" s="2259"/>
      <c r="G50" s="2259"/>
      <c r="H50" s="2259"/>
      <c r="I50"/>
      <c r="J50"/>
      <c r="K50"/>
      <c r="L50"/>
      <c r="M50"/>
      <c r="N50"/>
      <c r="O50"/>
      <c r="P50"/>
      <c r="Q50"/>
      <c r="R50"/>
      <c r="S50"/>
      <c r="T50"/>
      <c r="U50"/>
      <c r="V50"/>
      <c r="W50"/>
      <c r="X50"/>
    </row>
    <row r="52" spans="1:24" s="1093" customFormat="1" ht="25.5" customHeight="1">
      <c r="A52" s="2242" t="s">
        <v>792</v>
      </c>
      <c r="B52" s="2242"/>
      <c r="C52" s="2242"/>
      <c r="D52" s="2242"/>
      <c r="E52" s="2242"/>
      <c r="F52" s="2242"/>
      <c r="G52" s="2242"/>
      <c r="H52" s="2242"/>
      <c r="I52"/>
      <c r="J52"/>
      <c r="K52"/>
      <c r="L52"/>
      <c r="M52"/>
      <c r="N52"/>
      <c r="O52"/>
      <c r="P52"/>
      <c r="Q52"/>
      <c r="R52"/>
      <c r="S52"/>
      <c r="T52"/>
      <c r="U52"/>
      <c r="V52"/>
      <c r="W52"/>
      <c r="X52"/>
    </row>
    <row r="55" spans="1:24" s="1093" customFormat="1" ht="12.75" customHeight="1">
      <c r="A55" s="2666" t="s">
        <v>793</v>
      </c>
      <c r="B55" s="2666"/>
      <c r="C55" s="2666"/>
      <c r="D55" s="2666"/>
      <c r="E55" s="2666"/>
      <c r="F55" s="2666"/>
      <c r="G55" s="2666"/>
      <c r="H55" s="2666"/>
      <c r="I55"/>
      <c r="J55"/>
      <c r="K55"/>
      <c r="L55"/>
      <c r="M55"/>
      <c r="N55"/>
      <c r="O55"/>
      <c r="P55"/>
      <c r="Q55"/>
      <c r="R55"/>
      <c r="S55"/>
      <c r="T55"/>
      <c r="U55"/>
      <c r="V55"/>
      <c r="W55"/>
      <c r="X55"/>
    </row>
    <row r="57" spans="1:24" s="1093" customFormat="1" ht="12.75" customHeight="1">
      <c r="A57" s="2753" t="s">
        <v>2229</v>
      </c>
      <c r="B57" s="2753"/>
      <c r="C57" s="2753"/>
      <c r="D57" s="2753"/>
      <c r="E57" s="2753"/>
      <c r="F57" s="2753"/>
      <c r="G57" s="2753"/>
      <c r="H57" s="2753"/>
      <c r="I57"/>
      <c r="J57"/>
      <c r="K57"/>
      <c r="L57"/>
      <c r="M57"/>
      <c r="N57"/>
      <c r="O57"/>
      <c r="P57"/>
      <c r="Q57"/>
      <c r="R57"/>
      <c r="S57"/>
      <c r="T57"/>
      <c r="U57"/>
      <c r="V57"/>
      <c r="W57"/>
      <c r="X57"/>
    </row>
    <row r="58" spans="1:24" s="1141" customFormat="1" ht="12.75" customHeight="1">
      <c r="A58" s="2554" t="s">
        <v>794</v>
      </c>
      <c r="B58" s="2554"/>
      <c r="C58" s="2554"/>
      <c r="D58" s="2554"/>
      <c r="E58" s="2554"/>
      <c r="F58" s="2554"/>
      <c r="G58" s="2554"/>
      <c r="H58" s="2554"/>
      <c r="I58"/>
      <c r="J58"/>
      <c r="K58"/>
      <c r="L58"/>
      <c r="M58"/>
      <c r="N58"/>
      <c r="O58"/>
      <c r="P58"/>
      <c r="Q58"/>
      <c r="R58"/>
      <c r="S58"/>
      <c r="T58"/>
      <c r="U58"/>
      <c r="V58"/>
      <c r="W58"/>
      <c r="X58"/>
    </row>
    <row r="59" spans="1:24" s="1093" customFormat="1">
      <c r="A59" s="2751" t="s">
        <v>2539</v>
      </c>
      <c r="B59" s="2752"/>
      <c r="C59" s="2752"/>
      <c r="D59" s="2752"/>
      <c r="E59" s="2752"/>
      <c r="F59" s="2752"/>
      <c r="G59" s="2752"/>
      <c r="H59" s="2752"/>
      <c r="I59"/>
      <c r="J59"/>
      <c r="K59"/>
      <c r="L59"/>
      <c r="M59"/>
      <c r="N59"/>
      <c r="O59"/>
      <c r="P59"/>
      <c r="Q59"/>
      <c r="R59"/>
      <c r="S59"/>
      <c r="T59"/>
      <c r="U59"/>
      <c r="V59"/>
      <c r="W59"/>
      <c r="X59"/>
    </row>
    <row r="61" spans="1:24" s="1093" customFormat="1" ht="25.5" customHeight="1">
      <c r="A61" s="2753" t="s">
        <v>2033</v>
      </c>
      <c r="B61" s="2753"/>
      <c r="C61" s="2753"/>
      <c r="D61" s="2753"/>
      <c r="E61" s="2753"/>
      <c r="F61" s="2753"/>
      <c r="G61" s="2753"/>
      <c r="H61" s="2753"/>
      <c r="I61"/>
      <c r="J61"/>
      <c r="K61"/>
      <c r="L61"/>
      <c r="M61"/>
      <c r="N61"/>
      <c r="O61"/>
      <c r="P61"/>
      <c r="Q61"/>
      <c r="R61"/>
      <c r="S61"/>
      <c r="T61"/>
      <c r="U61"/>
      <c r="V61"/>
      <c r="W61"/>
      <c r="X61"/>
    </row>
    <row r="62" spans="1:24" s="1093" customFormat="1" ht="25.5" customHeight="1">
      <c r="A62" s="2554" t="s">
        <v>795</v>
      </c>
      <c r="B62" s="2554"/>
      <c r="C62" s="2554"/>
      <c r="D62" s="2554"/>
      <c r="E62" s="2554"/>
      <c r="F62" s="2554"/>
      <c r="G62" s="2554"/>
      <c r="H62" s="2554"/>
      <c r="I62"/>
      <c r="J62"/>
      <c r="K62"/>
      <c r="L62"/>
      <c r="M62"/>
      <c r="N62"/>
      <c r="O62"/>
      <c r="P62"/>
      <c r="Q62"/>
      <c r="R62"/>
      <c r="S62"/>
      <c r="T62"/>
      <c r="U62"/>
      <c r="V62"/>
      <c r="W62"/>
      <c r="X62"/>
    </row>
    <row r="63" spans="1:24" s="1142" customFormat="1">
      <c r="A63" s="1142" t="s">
        <v>2540</v>
      </c>
      <c r="B63" s="1143"/>
      <c r="C63" s="1143"/>
      <c r="D63" s="1143"/>
      <c r="E63" s="1143"/>
      <c r="F63" s="1143"/>
      <c r="G63" s="1143"/>
      <c r="H63" s="1143"/>
      <c r="I63"/>
      <c r="J63"/>
      <c r="K63"/>
      <c r="L63"/>
      <c r="M63"/>
      <c r="N63"/>
      <c r="O63"/>
      <c r="P63"/>
      <c r="Q63"/>
      <c r="R63"/>
      <c r="S63"/>
      <c r="T63"/>
      <c r="U63"/>
      <c r="V63"/>
      <c r="W63"/>
      <c r="X63"/>
    </row>
    <row r="65" spans="1:24" s="1093" customFormat="1" ht="12.75" customHeight="1">
      <c r="A65" s="2750" t="s">
        <v>2261</v>
      </c>
      <c r="B65" s="2750"/>
      <c r="C65" s="2750"/>
      <c r="D65" s="2750"/>
      <c r="E65" s="2750"/>
      <c r="F65" s="2750"/>
      <c r="G65" s="2750"/>
      <c r="H65" s="2750"/>
      <c r="I65"/>
      <c r="J65"/>
      <c r="K65"/>
      <c r="L65"/>
      <c r="M65"/>
      <c r="N65"/>
      <c r="O65"/>
      <c r="P65"/>
      <c r="Q65"/>
      <c r="R65"/>
      <c r="S65"/>
      <c r="T65"/>
      <c r="U65"/>
      <c r="V65"/>
      <c r="W65"/>
      <c r="X65"/>
    </row>
    <row r="66" spans="1:24" s="1093" customFormat="1" ht="38.25" customHeight="1">
      <c r="A66" s="2754" t="s">
        <v>796</v>
      </c>
      <c r="B66" s="2754"/>
      <c r="C66" s="2754"/>
      <c r="D66" s="2754"/>
      <c r="E66" s="2754"/>
      <c r="F66" s="2754"/>
      <c r="G66" s="2754"/>
      <c r="H66" s="2754"/>
      <c r="I66"/>
      <c r="J66"/>
      <c r="K66"/>
      <c r="L66"/>
      <c r="M66"/>
      <c r="N66"/>
      <c r="O66"/>
      <c r="P66"/>
      <c r="Q66"/>
      <c r="R66"/>
      <c r="S66"/>
      <c r="T66"/>
      <c r="U66"/>
      <c r="V66"/>
      <c r="W66"/>
      <c r="X66"/>
    </row>
    <row r="67" spans="1:24" s="1097" customFormat="1" ht="76.5" customHeight="1">
      <c r="A67" s="2755" t="s">
        <v>114</v>
      </c>
      <c r="B67" s="2755"/>
      <c r="C67" s="2755"/>
      <c r="D67" s="2755"/>
      <c r="E67" s="2755"/>
      <c r="F67" s="2755"/>
      <c r="G67" s="2755"/>
      <c r="H67" s="2755"/>
      <c r="I67"/>
      <c r="J67"/>
      <c r="K67"/>
      <c r="L67"/>
      <c r="M67"/>
      <c r="N67"/>
      <c r="O67"/>
      <c r="P67"/>
      <c r="Q67"/>
      <c r="R67"/>
      <c r="S67"/>
      <c r="T67"/>
      <c r="U67"/>
      <c r="V67"/>
      <c r="W67"/>
      <c r="X67"/>
    </row>
    <row r="69" spans="1:24" s="1093" customFormat="1" ht="12.75" customHeight="1">
      <c r="A69" s="2756" t="s">
        <v>797</v>
      </c>
      <c r="B69" s="2756"/>
      <c r="C69" s="2756"/>
      <c r="D69" s="2756"/>
      <c r="E69" s="2756"/>
      <c r="F69" s="2756"/>
      <c r="G69" s="2756"/>
      <c r="H69" s="2756"/>
      <c r="I69"/>
      <c r="J69"/>
      <c r="K69"/>
      <c r="L69"/>
      <c r="M69"/>
      <c r="N69"/>
      <c r="O69"/>
      <c r="P69"/>
      <c r="Q69"/>
      <c r="R69"/>
      <c r="S69"/>
      <c r="T69"/>
      <c r="U69"/>
      <c r="V69"/>
      <c r="W69"/>
      <c r="X69"/>
    </row>
    <row r="70" spans="1:24" s="1093" customFormat="1" ht="25.5" customHeight="1">
      <c r="A70" s="2554" t="s">
        <v>798</v>
      </c>
      <c r="B70" s="2554"/>
      <c r="C70" s="2554"/>
      <c r="D70" s="2554"/>
      <c r="E70" s="2554"/>
      <c r="F70" s="2554"/>
      <c r="G70" s="2554"/>
      <c r="H70" s="2554"/>
      <c r="I70"/>
      <c r="J70"/>
      <c r="K70"/>
      <c r="L70"/>
      <c r="M70"/>
      <c r="N70"/>
      <c r="O70"/>
      <c r="P70"/>
      <c r="Q70"/>
      <c r="R70"/>
      <c r="S70"/>
      <c r="T70"/>
      <c r="U70"/>
      <c r="V70"/>
      <c r="W70"/>
      <c r="X70"/>
    </row>
  </sheetData>
  <sheetProtection algorithmName="SHA-512" hashValue="JjExwjZiu6KMUcRLUJ0QItntVSIrODvTQU2uXF2E27vIgCsOtKwNfinPtDdDWeoWudKqTX75HCLEJ5NTCMHQ8A==" saltValue="gszFw97UKdCNm0fJ3jc5/g==" spinCount="100000" sheet="1" objects="1" scenarios="1"/>
  <mergeCells count="46">
    <mergeCell ref="A10:H10"/>
    <mergeCell ref="A6:H6"/>
    <mergeCell ref="A9:H9"/>
    <mergeCell ref="D1:E1"/>
    <mergeCell ref="A3:H3"/>
    <mergeCell ref="A4:H4"/>
    <mergeCell ref="A5:H5"/>
    <mergeCell ref="A19:H19"/>
    <mergeCell ref="A20:H20"/>
    <mergeCell ref="A11:H11"/>
    <mergeCell ref="A13:H13"/>
    <mergeCell ref="A14:H14"/>
    <mergeCell ref="A15:H15"/>
    <mergeCell ref="A16:H16"/>
    <mergeCell ref="A17:H17"/>
    <mergeCell ref="A18:H18"/>
    <mergeCell ref="A33:H33"/>
    <mergeCell ref="A34:H34"/>
    <mergeCell ref="A21:H21"/>
    <mergeCell ref="A23:H23"/>
    <mergeCell ref="A41:H41"/>
    <mergeCell ref="A25:H25"/>
    <mergeCell ref="A29:H29"/>
    <mergeCell ref="A30:H30"/>
    <mergeCell ref="A31:H31"/>
    <mergeCell ref="A35:H35"/>
    <mergeCell ref="A36:H36"/>
    <mergeCell ref="A37:H37"/>
    <mergeCell ref="A39:H39"/>
    <mergeCell ref="A70:H70"/>
    <mergeCell ref="A57:H57"/>
    <mergeCell ref="A58:H58"/>
    <mergeCell ref="A66:H66"/>
    <mergeCell ref="A67:H67"/>
    <mergeCell ref="A69:H69"/>
    <mergeCell ref="A45:H45"/>
    <mergeCell ref="A65:H65"/>
    <mergeCell ref="A59:H59"/>
    <mergeCell ref="A61:H61"/>
    <mergeCell ref="A52:H52"/>
    <mergeCell ref="A55:H55"/>
    <mergeCell ref="A46:H46"/>
    <mergeCell ref="A47:H47"/>
    <mergeCell ref="A49:H49"/>
    <mergeCell ref="A50:H50"/>
    <mergeCell ref="A62:H62"/>
  </mergeCell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66" firstPageNumber="0" orientation="portrait" r:id="rId1"/>
  <headerFooter alignWithMargins="0">
    <oddFooter>&amp;LRSU 2020 - Présentation au CTP&amp;R&amp;P/&amp;N
&amp;A</oddFooter>
  </headerFooter>
  <rowBreaks count="1" manualBreakCount="1">
    <brk id="60" max="16383" man="1"/>
  </rowBreaks>
</worksheet>
</file>

<file path=xl/worksheets/sheet63.xml><?xml version="1.0" encoding="utf-8"?>
<worksheet xmlns="http://schemas.openxmlformats.org/spreadsheetml/2006/main" xmlns:r="http://schemas.openxmlformats.org/officeDocument/2006/relationships">
  <sheetPr codeName="Feuil55">
    <pageSetUpPr fitToPage="1"/>
  </sheetPr>
  <dimension ref="A1:O145"/>
  <sheetViews>
    <sheetView showGridLines="0" tabSelected="1" zoomScaleNormal="100" workbookViewId="0">
      <selection activeCell="G87" sqref="G87"/>
    </sheetView>
  </sheetViews>
  <sheetFormatPr baseColWidth="10" defaultRowHeight="12.75" customHeight="1"/>
  <cols>
    <col min="1" max="1" width="40.140625" customWidth="1"/>
    <col min="2" max="5" width="10.7109375" customWidth="1"/>
    <col min="6" max="6" width="11.140625" customWidth="1"/>
    <col min="7" max="7" width="11" customWidth="1"/>
    <col min="8" max="8" width="10.7109375" customWidth="1"/>
    <col min="9" max="9" width="11" customWidth="1"/>
    <col min="10" max="10" width="10.85546875" customWidth="1"/>
    <col min="11" max="11" width="10.42578125" customWidth="1"/>
    <col min="12" max="12" width="10.140625" customWidth="1"/>
    <col min="13" max="13" width="11.140625" customWidth="1"/>
    <col min="14" max="15" width="7.140625" customWidth="1"/>
  </cols>
  <sheetData>
    <row r="1" spans="1:15" ht="17.100000000000001" customHeight="1">
      <c r="B1" s="2245" t="s">
        <v>958</v>
      </c>
      <c r="C1" s="2245"/>
      <c r="D1" s="2245"/>
      <c r="E1" s="2245"/>
    </row>
    <row r="2" spans="1:15" ht="13.5" thickBot="1"/>
    <row r="3" spans="1:15" ht="30.6" customHeight="1" thickBot="1">
      <c r="A3" s="2791" t="s">
        <v>2541</v>
      </c>
      <c r="B3" s="2476"/>
      <c r="C3" s="2476"/>
      <c r="D3" s="2476"/>
      <c r="E3" s="2476"/>
      <c r="F3" s="2476"/>
      <c r="G3" s="2476"/>
      <c r="H3" s="2476"/>
      <c r="I3" s="2476"/>
      <c r="J3" s="2476"/>
      <c r="K3" s="2476"/>
      <c r="L3" s="2476"/>
      <c r="M3" s="2476"/>
    </row>
    <row r="5" spans="1:15" ht="15">
      <c r="A5" s="2784" t="s">
        <v>2542</v>
      </c>
      <c r="B5" s="2785"/>
      <c r="C5" s="2785"/>
      <c r="D5" s="2785"/>
      <c r="E5" s="2785"/>
      <c r="F5" s="2785"/>
      <c r="G5" s="2785"/>
      <c r="H5" s="2785"/>
      <c r="I5" s="2785"/>
      <c r="J5" s="2785"/>
      <c r="K5" s="2785"/>
      <c r="L5" s="241"/>
      <c r="M5" s="550"/>
    </row>
    <row r="6" spans="1:15" ht="14.45" customHeight="1">
      <c r="A6" s="2782" t="s">
        <v>2543</v>
      </c>
      <c r="B6" s="2782"/>
      <c r="C6" s="2782"/>
      <c r="D6" s="2782"/>
      <c r="E6" s="2782"/>
      <c r="F6" s="2782"/>
      <c r="G6" s="2782"/>
      <c r="H6" s="2782"/>
      <c r="I6" s="2782"/>
      <c r="J6" s="2782"/>
      <c r="K6" s="2782"/>
      <c r="L6" s="241"/>
      <c r="M6" s="550"/>
    </row>
    <row r="7" spans="1:15" ht="15">
      <c r="A7" s="343" t="s">
        <v>2096</v>
      </c>
      <c r="B7" s="343"/>
      <c r="C7" s="343"/>
      <c r="D7" s="344"/>
      <c r="E7" s="344"/>
      <c r="F7" s="344"/>
      <c r="G7" s="343"/>
      <c r="H7" s="241"/>
      <c r="I7" s="241"/>
      <c r="J7" s="241"/>
      <c r="K7" s="241"/>
      <c r="L7" s="241"/>
      <c r="M7" s="550"/>
    </row>
    <row r="8" spans="1:15" ht="15">
      <c r="A8" s="2423" t="s">
        <v>250</v>
      </c>
      <c r="B8" s="2423"/>
      <c r="C8" s="2423"/>
      <c r="D8" s="2423"/>
      <c r="E8" s="2423"/>
      <c r="F8" s="2423"/>
      <c r="G8" s="2728"/>
      <c r="H8" s="2728"/>
      <c r="I8" s="922"/>
      <c r="J8" s="922"/>
      <c r="K8" s="922"/>
      <c r="L8" s="922"/>
      <c r="M8" s="923"/>
    </row>
    <row r="9" spans="1:15" ht="5.25" customHeight="1"/>
    <row r="10" spans="1:15" ht="14.45" customHeight="1">
      <c r="A10" s="2782" t="s">
        <v>2101</v>
      </c>
      <c r="B10" s="2782"/>
      <c r="C10" s="2782"/>
      <c r="D10" s="2782"/>
      <c r="E10" s="2782"/>
      <c r="F10" s="2782"/>
      <c r="G10" s="2782"/>
      <c r="H10" s="2782"/>
      <c r="I10" s="2782"/>
      <c r="J10" s="2782"/>
      <c r="K10" s="2782"/>
      <c r="L10" s="2792"/>
      <c r="M10" s="2792"/>
    </row>
    <row r="11" spans="1:15">
      <c r="A11" s="2782"/>
      <c r="B11" s="2782"/>
      <c r="C11" s="2782"/>
      <c r="D11" s="2782"/>
      <c r="E11" s="2782"/>
      <c r="F11" s="2782"/>
      <c r="G11" s="2782"/>
      <c r="H11" s="2782"/>
      <c r="I11" s="2782"/>
      <c r="J11" s="2782"/>
      <c r="K11" s="2782"/>
      <c r="L11" s="2792"/>
      <c r="M11" s="2792"/>
    </row>
    <row r="12" spans="1:15" ht="6" customHeight="1"/>
    <row r="13" spans="1:15" ht="30" customHeight="1">
      <c r="A13" s="2783" t="s">
        <v>2384</v>
      </c>
      <c r="B13" s="2783"/>
      <c r="C13" s="2783"/>
      <c r="D13" s="2783"/>
      <c r="E13" s="2783"/>
      <c r="F13" s="637" t="s">
        <v>1124</v>
      </c>
    </row>
    <row r="14" spans="1:15" ht="19.5" customHeight="1">
      <c r="A14" s="2783" t="s">
        <v>1387</v>
      </c>
      <c r="B14" s="2783"/>
      <c r="C14" s="2783"/>
      <c r="D14" s="2783"/>
      <c r="E14" s="2783"/>
      <c r="F14" s="637" t="s">
        <v>1124</v>
      </c>
    </row>
    <row r="16" spans="1:15" ht="50.25" customHeight="1">
      <c r="A16" s="2796" t="s">
        <v>608</v>
      </c>
      <c r="B16" s="2796" t="s">
        <v>2102</v>
      </c>
      <c r="C16" s="2796"/>
      <c r="D16" s="2787" t="s">
        <v>241</v>
      </c>
      <c r="E16" s="2788"/>
      <c r="F16" s="2797" t="s">
        <v>242</v>
      </c>
      <c r="G16" s="2798"/>
      <c r="H16" s="2787" t="s">
        <v>243</v>
      </c>
      <c r="I16" s="2788"/>
      <c r="J16" s="2789" t="s">
        <v>244</v>
      </c>
      <c r="K16" s="2790"/>
      <c r="L16" s="2787" t="s">
        <v>245</v>
      </c>
      <c r="M16" s="2788"/>
      <c r="N16" s="1239" t="s">
        <v>1994</v>
      </c>
      <c r="O16" s="1239" t="s">
        <v>1013</v>
      </c>
    </row>
    <row r="17" spans="1:15">
      <c r="A17" s="2796"/>
      <c r="B17" s="2771" t="s">
        <v>432</v>
      </c>
      <c r="C17" s="2786"/>
      <c r="D17" s="2771" t="s">
        <v>433</v>
      </c>
      <c r="E17" s="2786"/>
      <c r="F17" s="2771" t="s">
        <v>2103</v>
      </c>
      <c r="G17" s="2786"/>
      <c r="H17" s="2771" t="s">
        <v>350</v>
      </c>
      <c r="I17" s="2786"/>
      <c r="J17" s="2771" t="s">
        <v>2104</v>
      </c>
      <c r="K17" s="2786"/>
      <c r="L17" s="2771" t="s">
        <v>240</v>
      </c>
      <c r="M17" s="2786"/>
    </row>
    <row r="18" spans="1:15">
      <c r="A18" s="2796"/>
      <c r="B18" s="345" t="s">
        <v>707</v>
      </c>
      <c r="C18" s="345" t="s">
        <v>708</v>
      </c>
      <c r="D18" s="345" t="s">
        <v>707</v>
      </c>
      <c r="E18" s="345" t="s">
        <v>708</v>
      </c>
      <c r="F18" s="345" t="s">
        <v>707</v>
      </c>
      <c r="G18" s="345" t="s">
        <v>708</v>
      </c>
      <c r="H18" s="345" t="s">
        <v>707</v>
      </c>
      <c r="I18" s="345" t="s">
        <v>708</v>
      </c>
      <c r="J18" s="345" t="s">
        <v>707</v>
      </c>
      <c r="K18" s="345" t="s">
        <v>708</v>
      </c>
      <c r="L18" s="345" t="s">
        <v>707</v>
      </c>
      <c r="M18" s="345" t="s">
        <v>708</v>
      </c>
    </row>
    <row r="19" spans="1:15">
      <c r="A19" s="924" t="s">
        <v>1915</v>
      </c>
      <c r="B19" s="850">
        <f>SUM(B20:B22)</f>
        <v>8693889</v>
      </c>
      <c r="C19" s="850">
        <f t="shared" ref="C19:M19" si="0">SUM(C20:C22)</f>
        <v>25988625</v>
      </c>
      <c r="D19" s="850">
        <f t="shared" si="0"/>
        <v>2121381</v>
      </c>
      <c r="E19" s="850">
        <f t="shared" si="0"/>
        <v>5494741</v>
      </c>
      <c r="F19" s="850">
        <f t="shared" si="0"/>
        <v>159712</v>
      </c>
      <c r="G19" s="850">
        <f t="shared" si="0"/>
        <v>474897</v>
      </c>
      <c r="H19" s="850">
        <f t="shared" si="0"/>
        <v>86666</v>
      </c>
      <c r="I19" s="850">
        <f t="shared" si="0"/>
        <v>199262</v>
      </c>
      <c r="J19" s="850">
        <f t="shared" si="0"/>
        <v>38902</v>
      </c>
      <c r="K19" s="850">
        <f t="shared" si="0"/>
        <v>128435</v>
      </c>
      <c r="L19" s="850">
        <f t="shared" si="0"/>
        <v>62990</v>
      </c>
      <c r="M19" s="850">
        <f t="shared" si="0"/>
        <v>200600</v>
      </c>
      <c r="N19" s="1240" t="s">
        <v>1852</v>
      </c>
      <c r="O19" s="1240">
        <v>0</v>
      </c>
    </row>
    <row r="20" spans="1:15">
      <c r="A20" s="843" t="s">
        <v>714</v>
      </c>
      <c r="B20" s="708">
        <v>3449358</v>
      </c>
      <c r="C20" s="708">
        <v>3793183</v>
      </c>
      <c r="D20" s="708">
        <v>1061063</v>
      </c>
      <c r="E20" s="709">
        <v>969132</v>
      </c>
      <c r="F20" s="709">
        <v>62379</v>
      </c>
      <c r="G20" s="709">
        <v>85351</v>
      </c>
      <c r="H20" s="708">
        <v>3669</v>
      </c>
      <c r="I20" s="709">
        <v>1444</v>
      </c>
      <c r="J20" s="1055">
        <v>12278</v>
      </c>
      <c r="K20" s="738">
        <v>12003</v>
      </c>
      <c r="L20" s="708">
        <v>22858</v>
      </c>
      <c r="M20" s="709">
        <v>27840</v>
      </c>
      <c r="N20" s="1240" t="s">
        <v>1852</v>
      </c>
      <c r="O20" s="1240">
        <v>1</v>
      </c>
    </row>
    <row r="21" spans="1:15">
      <c r="A21" s="843" t="s">
        <v>715</v>
      </c>
      <c r="B21" s="708">
        <v>901196</v>
      </c>
      <c r="C21" s="708">
        <v>3790129</v>
      </c>
      <c r="D21" s="708">
        <v>209188</v>
      </c>
      <c r="E21" s="709">
        <v>885469</v>
      </c>
      <c r="F21" s="709">
        <v>13196</v>
      </c>
      <c r="G21" s="709">
        <v>64380</v>
      </c>
      <c r="H21" s="708">
        <v>12761</v>
      </c>
      <c r="I21" s="709">
        <v>24480</v>
      </c>
      <c r="J21" s="1055">
        <v>2552</v>
      </c>
      <c r="K21" s="738">
        <v>16004</v>
      </c>
      <c r="L21" s="708">
        <v>6602</v>
      </c>
      <c r="M21" s="709">
        <v>28048</v>
      </c>
      <c r="N21" s="1240" t="s">
        <v>1852</v>
      </c>
      <c r="O21" s="1240">
        <v>2</v>
      </c>
    </row>
    <row r="22" spans="1:15">
      <c r="A22" s="843" t="s">
        <v>670</v>
      </c>
      <c r="B22" s="708">
        <v>4343335</v>
      </c>
      <c r="C22" s="708">
        <v>18405313</v>
      </c>
      <c r="D22" s="708">
        <v>851130</v>
      </c>
      <c r="E22" s="709">
        <v>3640140</v>
      </c>
      <c r="F22" s="709">
        <v>84137</v>
      </c>
      <c r="G22" s="709">
        <v>325166</v>
      </c>
      <c r="H22" s="708">
        <v>70236</v>
      </c>
      <c r="I22" s="709">
        <v>173338</v>
      </c>
      <c r="J22" s="1055">
        <v>24072</v>
      </c>
      <c r="K22" s="738">
        <v>100428</v>
      </c>
      <c r="L22" s="708">
        <v>33530</v>
      </c>
      <c r="M22" s="709">
        <v>144712</v>
      </c>
      <c r="N22" s="1240" t="s">
        <v>1852</v>
      </c>
      <c r="O22" s="1240">
        <v>3</v>
      </c>
    </row>
    <row r="23" spans="1:15">
      <c r="A23" s="844" t="s">
        <v>673</v>
      </c>
      <c r="B23" s="850">
        <f t="shared" ref="B23:M23" si="1">SUM(B24:B26)</f>
        <v>24808072</v>
      </c>
      <c r="C23" s="850">
        <f t="shared" si="1"/>
        <v>26865276</v>
      </c>
      <c r="D23" s="850">
        <f t="shared" si="1"/>
        <v>4305197</v>
      </c>
      <c r="E23" s="850">
        <f t="shared" si="1"/>
        <v>3940972</v>
      </c>
      <c r="F23" s="850">
        <f t="shared" si="1"/>
        <v>308891</v>
      </c>
      <c r="G23" s="850">
        <f t="shared" si="1"/>
        <v>202872</v>
      </c>
      <c r="H23" s="850">
        <f t="shared" si="1"/>
        <v>568508</v>
      </c>
      <c r="I23" s="850">
        <f t="shared" si="1"/>
        <v>934182</v>
      </c>
      <c r="J23" s="850">
        <f t="shared" si="1"/>
        <v>189435</v>
      </c>
      <c r="K23" s="850">
        <f t="shared" si="1"/>
        <v>274812</v>
      </c>
      <c r="L23" s="850">
        <f t="shared" si="1"/>
        <v>188064</v>
      </c>
      <c r="M23" s="850">
        <f t="shared" si="1"/>
        <v>216331</v>
      </c>
      <c r="N23" s="1240" t="s">
        <v>1249</v>
      </c>
      <c r="O23" s="1240">
        <v>0</v>
      </c>
    </row>
    <row r="24" spans="1:15">
      <c r="A24" s="843" t="s">
        <v>714</v>
      </c>
      <c r="B24" s="708">
        <v>1676411</v>
      </c>
      <c r="C24" s="708">
        <v>1032149</v>
      </c>
      <c r="D24" s="708">
        <v>586769</v>
      </c>
      <c r="E24" s="709">
        <v>371496</v>
      </c>
      <c r="F24" s="709">
        <v>23081</v>
      </c>
      <c r="G24" s="709">
        <v>9487</v>
      </c>
      <c r="H24" s="708">
        <v>0</v>
      </c>
      <c r="I24" s="709">
        <v>0</v>
      </c>
      <c r="J24" s="1055">
        <v>8408</v>
      </c>
      <c r="K24" s="738">
        <v>8305</v>
      </c>
      <c r="L24" s="708">
        <v>10440</v>
      </c>
      <c r="M24" s="709">
        <v>6378</v>
      </c>
      <c r="N24" s="1240" t="s">
        <v>1249</v>
      </c>
      <c r="O24" s="1240">
        <v>1</v>
      </c>
    </row>
    <row r="25" spans="1:15">
      <c r="A25" s="843" t="s">
        <v>715</v>
      </c>
      <c r="B25" s="708">
        <v>1868482</v>
      </c>
      <c r="C25" s="708">
        <v>417225</v>
      </c>
      <c r="D25" s="708">
        <v>399891</v>
      </c>
      <c r="E25" s="709">
        <v>99465</v>
      </c>
      <c r="F25" s="709">
        <v>23834</v>
      </c>
      <c r="G25" s="709">
        <v>3070</v>
      </c>
      <c r="H25" s="708">
        <v>24330</v>
      </c>
      <c r="I25" s="709">
        <v>0</v>
      </c>
      <c r="J25" s="1055">
        <v>6562</v>
      </c>
      <c r="K25" s="738">
        <v>2606</v>
      </c>
      <c r="L25" s="708">
        <v>13493</v>
      </c>
      <c r="M25" s="709">
        <v>3053</v>
      </c>
      <c r="N25" s="1240" t="s">
        <v>1249</v>
      </c>
      <c r="O25" s="1240">
        <v>2</v>
      </c>
    </row>
    <row r="26" spans="1:15">
      <c r="A26" s="843" t="s">
        <v>670</v>
      </c>
      <c r="B26" s="708">
        <v>21263179</v>
      </c>
      <c r="C26" s="708">
        <v>25415902</v>
      </c>
      <c r="D26" s="708">
        <v>3318537</v>
      </c>
      <c r="E26" s="709">
        <v>3470011</v>
      </c>
      <c r="F26" s="709">
        <v>261976</v>
      </c>
      <c r="G26" s="709">
        <v>190315</v>
      </c>
      <c r="H26" s="708">
        <v>544178</v>
      </c>
      <c r="I26" s="709">
        <v>934182</v>
      </c>
      <c r="J26" s="1055">
        <v>174465</v>
      </c>
      <c r="K26" s="738">
        <v>263901</v>
      </c>
      <c r="L26" s="708">
        <v>164131</v>
      </c>
      <c r="M26" s="709">
        <v>206900</v>
      </c>
      <c r="N26" s="1240" t="s">
        <v>1249</v>
      </c>
      <c r="O26" s="1240">
        <v>3</v>
      </c>
    </row>
    <row r="27" spans="1:15">
      <c r="A27" s="845" t="s">
        <v>1250</v>
      </c>
      <c r="B27" s="850">
        <f t="shared" ref="B27:M27" si="2">SUM(B28:B30)</f>
        <v>3053654</v>
      </c>
      <c r="C27" s="850">
        <f t="shared" si="2"/>
        <v>5431456</v>
      </c>
      <c r="D27" s="850">
        <f t="shared" si="2"/>
        <v>293076</v>
      </c>
      <c r="E27" s="850">
        <f t="shared" si="2"/>
        <v>631225</v>
      </c>
      <c r="F27" s="850">
        <f t="shared" si="2"/>
        <v>16040</v>
      </c>
      <c r="G27" s="850">
        <f t="shared" si="2"/>
        <v>45190</v>
      </c>
      <c r="H27" s="850">
        <f t="shared" si="2"/>
        <v>7431</v>
      </c>
      <c r="I27" s="850">
        <f t="shared" si="2"/>
        <v>23431</v>
      </c>
      <c r="J27" s="850">
        <f t="shared" si="2"/>
        <v>26555</v>
      </c>
      <c r="K27" s="850">
        <f t="shared" si="2"/>
        <v>27292</v>
      </c>
      <c r="L27" s="850">
        <f t="shared" si="2"/>
        <v>26649</v>
      </c>
      <c r="M27" s="850">
        <f t="shared" si="2"/>
        <v>46758</v>
      </c>
      <c r="N27" s="1240" t="s">
        <v>375</v>
      </c>
      <c r="O27" s="1240">
        <v>0</v>
      </c>
    </row>
    <row r="28" spans="1:15">
      <c r="A28" s="843" t="s">
        <v>714</v>
      </c>
      <c r="B28" s="708">
        <v>1856836</v>
      </c>
      <c r="C28" s="708">
        <v>2064150</v>
      </c>
      <c r="D28" s="708">
        <v>137094</v>
      </c>
      <c r="E28" s="709">
        <v>169961</v>
      </c>
      <c r="F28" s="709">
        <v>2249</v>
      </c>
      <c r="G28" s="709">
        <v>1406</v>
      </c>
      <c r="H28" s="708">
        <v>1914</v>
      </c>
      <c r="I28" s="709">
        <v>5552</v>
      </c>
      <c r="J28" s="1055">
        <v>21411</v>
      </c>
      <c r="K28" s="738">
        <v>11155</v>
      </c>
      <c r="L28" s="708">
        <v>16430</v>
      </c>
      <c r="M28" s="709">
        <v>18423</v>
      </c>
      <c r="N28" s="1240" t="s">
        <v>375</v>
      </c>
      <c r="O28" s="1240">
        <v>1</v>
      </c>
    </row>
    <row r="29" spans="1:15">
      <c r="A29" s="843" t="s">
        <v>715</v>
      </c>
      <c r="B29" s="708">
        <v>545194</v>
      </c>
      <c r="C29" s="708">
        <v>1635828</v>
      </c>
      <c r="D29" s="708">
        <v>59988</v>
      </c>
      <c r="E29" s="709">
        <v>198326</v>
      </c>
      <c r="F29" s="709">
        <v>2812</v>
      </c>
      <c r="G29" s="709">
        <v>14849</v>
      </c>
      <c r="H29" s="708">
        <v>2453</v>
      </c>
      <c r="I29" s="709">
        <v>6083</v>
      </c>
      <c r="J29" s="1055">
        <v>3240</v>
      </c>
      <c r="K29" s="738">
        <v>10085</v>
      </c>
      <c r="L29" s="708">
        <v>4656</v>
      </c>
      <c r="M29" s="709">
        <v>14018</v>
      </c>
      <c r="N29" s="1240" t="s">
        <v>375</v>
      </c>
      <c r="O29" s="1240">
        <v>2</v>
      </c>
    </row>
    <row r="30" spans="1:15">
      <c r="A30" s="843" t="s">
        <v>670</v>
      </c>
      <c r="B30" s="708">
        <v>651624</v>
      </c>
      <c r="C30" s="708">
        <v>1731478</v>
      </c>
      <c r="D30" s="708">
        <v>95994</v>
      </c>
      <c r="E30" s="709">
        <v>262938</v>
      </c>
      <c r="F30" s="709">
        <v>10979</v>
      </c>
      <c r="G30" s="709">
        <v>28935</v>
      </c>
      <c r="H30" s="708">
        <v>3064</v>
      </c>
      <c r="I30" s="709">
        <v>11796</v>
      </c>
      <c r="J30" s="1055">
        <v>1904</v>
      </c>
      <c r="K30" s="738">
        <v>6052</v>
      </c>
      <c r="L30" s="708">
        <v>5563</v>
      </c>
      <c r="M30" s="709">
        <v>14317</v>
      </c>
      <c r="N30" s="1240" t="s">
        <v>375</v>
      </c>
      <c r="O30" s="1240">
        <v>3</v>
      </c>
    </row>
    <row r="31" spans="1:15">
      <c r="A31" s="846" t="s">
        <v>376</v>
      </c>
      <c r="B31" s="850">
        <f t="shared" ref="B31:M31" si="3">SUM(B32:B34)</f>
        <v>1890344</v>
      </c>
      <c r="C31" s="850">
        <f t="shared" si="3"/>
        <v>727382</v>
      </c>
      <c r="D31" s="850">
        <f t="shared" si="3"/>
        <v>327217</v>
      </c>
      <c r="E31" s="850">
        <f t="shared" si="3"/>
        <v>132901</v>
      </c>
      <c r="F31" s="850">
        <f t="shared" si="3"/>
        <v>36810</v>
      </c>
      <c r="G31" s="850">
        <f t="shared" si="3"/>
        <v>13249</v>
      </c>
      <c r="H31" s="850">
        <f t="shared" si="3"/>
        <v>5387</v>
      </c>
      <c r="I31" s="850">
        <f t="shared" si="3"/>
        <v>383</v>
      </c>
      <c r="J31" s="850">
        <f t="shared" si="3"/>
        <v>18798</v>
      </c>
      <c r="K31" s="850">
        <f t="shared" si="3"/>
        <v>4478</v>
      </c>
      <c r="L31" s="850">
        <f t="shared" si="3"/>
        <v>15044</v>
      </c>
      <c r="M31" s="850">
        <f t="shared" si="3"/>
        <v>5728</v>
      </c>
      <c r="N31" s="1240" t="s">
        <v>1194</v>
      </c>
      <c r="O31" s="1240">
        <v>0</v>
      </c>
    </row>
    <row r="32" spans="1:15">
      <c r="A32" s="843" t="s">
        <v>714</v>
      </c>
      <c r="B32" s="708">
        <v>132346</v>
      </c>
      <c r="C32" s="708">
        <v>0</v>
      </c>
      <c r="D32" s="708">
        <v>23642</v>
      </c>
      <c r="E32" s="709">
        <v>0</v>
      </c>
      <c r="F32" s="709">
        <v>3444</v>
      </c>
      <c r="G32" s="709">
        <v>0</v>
      </c>
      <c r="H32" s="708">
        <v>0</v>
      </c>
      <c r="I32" s="709">
        <v>0</v>
      </c>
      <c r="J32" s="1055">
        <v>1111</v>
      </c>
      <c r="K32" s="738">
        <v>0</v>
      </c>
      <c r="L32" s="708">
        <v>1058</v>
      </c>
      <c r="M32" s="709">
        <v>0</v>
      </c>
      <c r="N32" s="1240" t="s">
        <v>1194</v>
      </c>
      <c r="O32" s="1240">
        <v>1</v>
      </c>
    </row>
    <row r="33" spans="1:15">
      <c r="A33" s="843" t="s">
        <v>715</v>
      </c>
      <c r="B33" s="708">
        <v>1522492</v>
      </c>
      <c r="C33" s="708">
        <v>714944</v>
      </c>
      <c r="D33" s="708">
        <v>267523</v>
      </c>
      <c r="E33" s="709">
        <v>130797</v>
      </c>
      <c r="F33" s="709">
        <v>29992</v>
      </c>
      <c r="G33" s="709">
        <v>12968</v>
      </c>
      <c r="H33" s="708">
        <v>5387</v>
      </c>
      <c r="I33" s="709">
        <v>383</v>
      </c>
      <c r="J33" s="1055">
        <v>16802</v>
      </c>
      <c r="K33" s="738">
        <v>4464</v>
      </c>
      <c r="L33" s="708">
        <v>12051</v>
      </c>
      <c r="M33" s="709">
        <v>5629</v>
      </c>
      <c r="N33" s="1240" t="s">
        <v>1194</v>
      </c>
      <c r="O33" s="1240">
        <v>2</v>
      </c>
    </row>
    <row r="34" spans="1:15">
      <c r="A34" s="843" t="s">
        <v>670</v>
      </c>
      <c r="B34" s="708">
        <v>235506</v>
      </c>
      <c r="C34" s="708">
        <v>12438</v>
      </c>
      <c r="D34" s="708">
        <v>36052</v>
      </c>
      <c r="E34" s="709">
        <v>2104</v>
      </c>
      <c r="F34" s="709">
        <v>3374</v>
      </c>
      <c r="G34" s="709">
        <v>281</v>
      </c>
      <c r="H34" s="708">
        <v>0</v>
      </c>
      <c r="I34" s="709">
        <v>0</v>
      </c>
      <c r="J34" s="1055">
        <v>885</v>
      </c>
      <c r="K34" s="738">
        <v>14</v>
      </c>
      <c r="L34" s="708">
        <v>1935</v>
      </c>
      <c r="M34" s="709">
        <v>99</v>
      </c>
      <c r="N34" s="1240" t="s">
        <v>1194</v>
      </c>
      <c r="O34" s="1240">
        <v>3</v>
      </c>
    </row>
    <row r="35" spans="1:15">
      <c r="A35" s="846" t="s">
        <v>1195</v>
      </c>
      <c r="B35" s="850">
        <f t="shared" ref="B35:M35" si="4">SUM(B36:B38)</f>
        <v>31650</v>
      </c>
      <c r="C35" s="850">
        <f t="shared" si="4"/>
        <v>10014500</v>
      </c>
      <c r="D35" s="850">
        <f t="shared" si="4"/>
        <v>5901</v>
      </c>
      <c r="E35" s="850">
        <f t="shared" si="4"/>
        <v>1574414</v>
      </c>
      <c r="F35" s="850">
        <f t="shared" si="4"/>
        <v>843</v>
      </c>
      <c r="G35" s="850">
        <f t="shared" si="4"/>
        <v>82445</v>
      </c>
      <c r="H35" s="850">
        <f t="shared" si="4"/>
        <v>0</v>
      </c>
      <c r="I35" s="850">
        <f t="shared" si="4"/>
        <v>7943</v>
      </c>
      <c r="J35" s="850">
        <f t="shared" si="4"/>
        <v>0</v>
      </c>
      <c r="K35" s="850">
        <f t="shared" si="4"/>
        <v>87912</v>
      </c>
      <c r="L35" s="850">
        <f t="shared" si="4"/>
        <v>255</v>
      </c>
      <c r="M35" s="850">
        <f t="shared" si="4"/>
        <v>83337</v>
      </c>
      <c r="N35" s="1240" t="s">
        <v>1573</v>
      </c>
      <c r="O35" s="1240">
        <v>0</v>
      </c>
    </row>
    <row r="36" spans="1:15">
      <c r="A36" s="843" t="s">
        <v>714</v>
      </c>
      <c r="B36" s="708">
        <v>31650</v>
      </c>
      <c r="C36" s="708">
        <v>1803650</v>
      </c>
      <c r="D36" s="708">
        <v>5901</v>
      </c>
      <c r="E36" s="709">
        <v>298895</v>
      </c>
      <c r="F36" s="709">
        <v>843</v>
      </c>
      <c r="G36" s="709">
        <v>28183</v>
      </c>
      <c r="H36" s="708">
        <v>0</v>
      </c>
      <c r="I36" s="709">
        <v>1176</v>
      </c>
      <c r="J36" s="1055">
        <v>0</v>
      </c>
      <c r="K36" s="738">
        <v>10933</v>
      </c>
      <c r="L36" s="708">
        <v>255</v>
      </c>
      <c r="M36" s="709">
        <v>15052</v>
      </c>
      <c r="N36" s="1241" t="s">
        <v>1573</v>
      </c>
      <c r="O36" s="1240">
        <v>1</v>
      </c>
    </row>
    <row r="37" spans="1:15" ht="15" customHeight="1">
      <c r="A37" s="843" t="s">
        <v>715</v>
      </c>
      <c r="B37" s="708">
        <v>0</v>
      </c>
      <c r="C37" s="708">
        <v>62065</v>
      </c>
      <c r="D37" s="708">
        <v>0</v>
      </c>
      <c r="E37" s="709">
        <v>5874</v>
      </c>
      <c r="F37" s="709">
        <v>0</v>
      </c>
      <c r="G37" s="709">
        <v>0</v>
      </c>
      <c r="H37" s="708">
        <v>0</v>
      </c>
      <c r="I37" s="709">
        <v>0</v>
      </c>
      <c r="J37" s="1055">
        <v>0</v>
      </c>
      <c r="K37" s="738">
        <v>0</v>
      </c>
      <c r="L37" s="708">
        <v>0</v>
      </c>
      <c r="M37" s="709">
        <v>553</v>
      </c>
      <c r="N37" s="1242" t="s">
        <v>1573</v>
      </c>
      <c r="O37" s="1240">
        <v>2</v>
      </c>
    </row>
    <row r="38" spans="1:15">
      <c r="A38" s="843" t="s">
        <v>670</v>
      </c>
      <c r="B38" s="708">
        <v>0</v>
      </c>
      <c r="C38" s="708">
        <v>8148785</v>
      </c>
      <c r="D38" s="708">
        <v>0</v>
      </c>
      <c r="E38" s="709">
        <v>1269645</v>
      </c>
      <c r="F38" s="709">
        <v>0</v>
      </c>
      <c r="G38" s="709">
        <v>54262</v>
      </c>
      <c r="H38" s="708">
        <v>0</v>
      </c>
      <c r="I38" s="709">
        <v>6767</v>
      </c>
      <c r="J38" s="1055">
        <v>0</v>
      </c>
      <c r="K38" s="738">
        <v>76979</v>
      </c>
      <c r="L38" s="708">
        <v>0</v>
      </c>
      <c r="M38" s="709">
        <v>67732</v>
      </c>
      <c r="N38" s="1240" t="s">
        <v>1573</v>
      </c>
      <c r="O38" s="1240">
        <v>3</v>
      </c>
    </row>
    <row r="39" spans="1:15">
      <c r="A39" s="847" t="s">
        <v>1574</v>
      </c>
      <c r="B39" s="850">
        <f t="shared" ref="B39:M39" si="5">SUM(B40:B42)</f>
        <v>174337</v>
      </c>
      <c r="C39" s="850">
        <f t="shared" si="5"/>
        <v>8821382</v>
      </c>
      <c r="D39" s="850">
        <f t="shared" si="5"/>
        <v>40142</v>
      </c>
      <c r="E39" s="850">
        <f t="shared" si="5"/>
        <v>1896310</v>
      </c>
      <c r="F39" s="850">
        <f t="shared" si="5"/>
        <v>3280</v>
      </c>
      <c r="G39" s="850">
        <f t="shared" si="5"/>
        <v>90683</v>
      </c>
      <c r="H39" s="850">
        <f t="shared" si="5"/>
        <v>520</v>
      </c>
      <c r="I39" s="850">
        <f t="shared" si="5"/>
        <v>5689</v>
      </c>
      <c r="J39" s="850">
        <f t="shared" si="5"/>
        <v>1480</v>
      </c>
      <c r="K39" s="850">
        <f t="shared" si="5"/>
        <v>70449</v>
      </c>
      <c r="L39" s="850">
        <f t="shared" si="5"/>
        <v>1297</v>
      </c>
      <c r="M39" s="850">
        <f t="shared" si="5"/>
        <v>68339</v>
      </c>
      <c r="N39" s="1240" t="s">
        <v>2126</v>
      </c>
      <c r="O39" s="1240">
        <v>0</v>
      </c>
    </row>
    <row r="40" spans="1:15">
      <c r="A40" s="843" t="s">
        <v>714</v>
      </c>
      <c r="B40" s="708">
        <v>87828</v>
      </c>
      <c r="C40" s="708">
        <v>2166337</v>
      </c>
      <c r="D40" s="708">
        <v>19919</v>
      </c>
      <c r="E40" s="709">
        <v>378581</v>
      </c>
      <c r="F40" s="709">
        <v>2811</v>
      </c>
      <c r="G40" s="709">
        <v>47684</v>
      </c>
      <c r="H40" s="708">
        <v>520</v>
      </c>
      <c r="I40" s="709">
        <v>4341</v>
      </c>
      <c r="J40" s="1055">
        <v>0</v>
      </c>
      <c r="K40" s="738">
        <v>9994</v>
      </c>
      <c r="L40" s="708">
        <v>660</v>
      </c>
      <c r="M40" s="709">
        <v>17480</v>
      </c>
      <c r="N40" s="1240" t="s">
        <v>2126</v>
      </c>
      <c r="O40" s="1240">
        <v>1</v>
      </c>
    </row>
    <row r="41" spans="1:15">
      <c r="A41" s="843" t="s">
        <v>715</v>
      </c>
      <c r="B41" s="708"/>
      <c r="C41" s="708"/>
      <c r="D41" s="708"/>
      <c r="E41" s="709"/>
      <c r="F41" s="709"/>
      <c r="G41" s="709"/>
      <c r="H41" s="708"/>
      <c r="I41" s="709"/>
      <c r="J41" s="1055"/>
      <c r="K41" s="738"/>
      <c r="L41" s="708"/>
      <c r="M41" s="709"/>
      <c r="N41" s="1240" t="s">
        <v>2126</v>
      </c>
      <c r="O41" s="1240">
        <v>2</v>
      </c>
    </row>
    <row r="42" spans="1:15">
      <c r="A42" s="843" t="s">
        <v>670</v>
      </c>
      <c r="B42" s="708">
        <v>86509</v>
      </c>
      <c r="C42" s="708">
        <v>6655045</v>
      </c>
      <c r="D42" s="708">
        <v>20223</v>
      </c>
      <c r="E42" s="709">
        <v>1517729</v>
      </c>
      <c r="F42" s="709">
        <v>469</v>
      </c>
      <c r="G42" s="709">
        <v>42999</v>
      </c>
      <c r="H42" s="708">
        <v>0</v>
      </c>
      <c r="I42" s="709">
        <v>1348</v>
      </c>
      <c r="J42" s="1055">
        <v>1480</v>
      </c>
      <c r="K42" s="738">
        <v>60455</v>
      </c>
      <c r="L42" s="708">
        <v>637</v>
      </c>
      <c r="M42" s="709">
        <v>50859</v>
      </c>
      <c r="N42" s="1240" t="s">
        <v>2126</v>
      </c>
      <c r="O42" s="1240">
        <v>3</v>
      </c>
    </row>
    <row r="43" spans="1:15">
      <c r="A43" s="847" t="s">
        <v>2127</v>
      </c>
      <c r="B43" s="850">
        <f t="shared" ref="B43:M43" si="6">SUM(B44:B46)</f>
        <v>0</v>
      </c>
      <c r="C43" s="850">
        <f t="shared" si="6"/>
        <v>0</v>
      </c>
      <c r="D43" s="850">
        <f t="shared" si="6"/>
        <v>0</v>
      </c>
      <c r="E43" s="850">
        <f t="shared" si="6"/>
        <v>0</v>
      </c>
      <c r="F43" s="850">
        <f t="shared" si="6"/>
        <v>0</v>
      </c>
      <c r="G43" s="850">
        <f t="shared" si="6"/>
        <v>0</v>
      </c>
      <c r="H43" s="850">
        <f t="shared" si="6"/>
        <v>0</v>
      </c>
      <c r="I43" s="850">
        <f t="shared" si="6"/>
        <v>0</v>
      </c>
      <c r="J43" s="850">
        <f t="shared" si="6"/>
        <v>0</v>
      </c>
      <c r="K43" s="850">
        <f t="shared" si="6"/>
        <v>0</v>
      </c>
      <c r="L43" s="850">
        <f t="shared" si="6"/>
        <v>0</v>
      </c>
      <c r="M43" s="850">
        <f t="shared" si="6"/>
        <v>0</v>
      </c>
      <c r="N43" s="1240" t="s">
        <v>1649</v>
      </c>
      <c r="O43" s="1240">
        <v>0</v>
      </c>
    </row>
    <row r="44" spans="1:15">
      <c r="A44" s="843" t="s">
        <v>714</v>
      </c>
      <c r="B44" s="708"/>
      <c r="C44" s="708"/>
      <c r="D44" s="708"/>
      <c r="E44" s="709"/>
      <c r="F44" s="709"/>
      <c r="G44" s="709"/>
      <c r="H44" s="708"/>
      <c r="I44" s="709"/>
      <c r="J44" s="1055"/>
      <c r="K44" s="738"/>
      <c r="L44" s="708"/>
      <c r="M44" s="709"/>
      <c r="N44" s="1240" t="s">
        <v>1649</v>
      </c>
      <c r="O44" s="1240">
        <v>1</v>
      </c>
    </row>
    <row r="45" spans="1:15">
      <c r="A45" s="843" t="s">
        <v>715</v>
      </c>
      <c r="B45" s="708"/>
      <c r="C45" s="708"/>
      <c r="D45" s="708"/>
      <c r="E45" s="709"/>
      <c r="F45" s="709"/>
      <c r="G45" s="709"/>
      <c r="H45" s="708"/>
      <c r="I45" s="709"/>
      <c r="J45" s="1055"/>
      <c r="K45" s="738"/>
      <c r="L45" s="708"/>
      <c r="M45" s="709"/>
      <c r="N45" s="1240" t="s">
        <v>1649</v>
      </c>
      <c r="O45" s="1240">
        <v>2</v>
      </c>
    </row>
    <row r="46" spans="1:15">
      <c r="A46" s="843" t="s">
        <v>670</v>
      </c>
      <c r="B46" s="708"/>
      <c r="C46" s="708"/>
      <c r="D46" s="708"/>
      <c r="E46" s="709"/>
      <c r="F46" s="709"/>
      <c r="G46" s="709"/>
      <c r="H46" s="708"/>
      <c r="I46" s="709"/>
      <c r="J46" s="1055"/>
      <c r="K46" s="738"/>
      <c r="L46" s="708"/>
      <c r="M46" s="709"/>
      <c r="N46" s="1240" t="s">
        <v>1649</v>
      </c>
      <c r="O46" s="1240">
        <v>3</v>
      </c>
    </row>
    <row r="47" spans="1:15">
      <c r="A47" s="847" t="s">
        <v>1650</v>
      </c>
      <c r="B47" s="850">
        <f t="shared" ref="B47:M47" si="7">SUM(B48:B50)</f>
        <v>11495703</v>
      </c>
      <c r="C47" s="850">
        <f t="shared" si="7"/>
        <v>3565507</v>
      </c>
      <c r="D47" s="850">
        <f t="shared" si="7"/>
        <v>2737368</v>
      </c>
      <c r="E47" s="850">
        <f t="shared" si="7"/>
        <v>847005</v>
      </c>
      <c r="F47" s="850">
        <f t="shared" si="7"/>
        <v>250814</v>
      </c>
      <c r="G47" s="850">
        <f t="shared" si="7"/>
        <v>89245</v>
      </c>
      <c r="H47" s="850">
        <f t="shared" si="7"/>
        <v>925320</v>
      </c>
      <c r="I47" s="850">
        <f t="shared" si="7"/>
        <v>223622</v>
      </c>
      <c r="J47" s="850">
        <f t="shared" si="7"/>
        <v>81080</v>
      </c>
      <c r="K47" s="850">
        <f t="shared" si="7"/>
        <v>12096</v>
      </c>
      <c r="L47" s="850">
        <f t="shared" si="7"/>
        <v>75467</v>
      </c>
      <c r="M47" s="850">
        <f t="shared" si="7"/>
        <v>24406</v>
      </c>
      <c r="N47" s="1240" t="s">
        <v>316</v>
      </c>
      <c r="O47" s="1240">
        <v>0</v>
      </c>
    </row>
    <row r="48" spans="1:15">
      <c r="A48" s="843" t="s">
        <v>714</v>
      </c>
      <c r="B48" s="708">
        <v>190211</v>
      </c>
      <c r="C48" s="708">
        <v>41892</v>
      </c>
      <c r="D48" s="708">
        <v>51827</v>
      </c>
      <c r="E48" s="709">
        <v>14861</v>
      </c>
      <c r="F48" s="709">
        <v>4217</v>
      </c>
      <c r="G48" s="709">
        <v>843</v>
      </c>
      <c r="H48" s="708">
        <v>7052</v>
      </c>
      <c r="I48" s="709">
        <v>0</v>
      </c>
      <c r="J48" s="1055">
        <v>2903</v>
      </c>
      <c r="K48" s="738">
        <v>0</v>
      </c>
      <c r="L48" s="708">
        <v>1084</v>
      </c>
      <c r="M48" s="709">
        <v>264</v>
      </c>
      <c r="N48" s="1240" t="s">
        <v>316</v>
      </c>
      <c r="O48" s="1240">
        <v>1</v>
      </c>
    </row>
    <row r="49" spans="1:15">
      <c r="A49" s="843" t="s">
        <v>715</v>
      </c>
      <c r="B49" s="708">
        <v>2036737</v>
      </c>
      <c r="C49" s="708">
        <v>250029</v>
      </c>
      <c r="D49" s="708">
        <v>571674</v>
      </c>
      <c r="E49" s="709">
        <v>70344</v>
      </c>
      <c r="F49" s="709">
        <v>33935</v>
      </c>
      <c r="G49" s="709">
        <v>5061</v>
      </c>
      <c r="H49" s="708">
        <v>171740</v>
      </c>
      <c r="I49" s="709">
        <v>30992</v>
      </c>
      <c r="J49" s="1055">
        <v>7341</v>
      </c>
      <c r="K49" s="738">
        <v>55</v>
      </c>
      <c r="L49" s="708">
        <v>12272</v>
      </c>
      <c r="M49" s="709">
        <v>1459</v>
      </c>
      <c r="N49" s="1240" t="s">
        <v>316</v>
      </c>
      <c r="O49" s="1240">
        <v>2</v>
      </c>
    </row>
    <row r="50" spans="1:15">
      <c r="A50" s="843" t="s">
        <v>670</v>
      </c>
      <c r="B50" s="708">
        <v>9268755</v>
      </c>
      <c r="C50" s="708">
        <v>3273586</v>
      </c>
      <c r="D50" s="708">
        <v>2113867</v>
      </c>
      <c r="E50" s="709">
        <v>761800</v>
      </c>
      <c r="F50" s="709">
        <v>212662</v>
      </c>
      <c r="G50" s="709">
        <v>83341</v>
      </c>
      <c r="H50" s="708">
        <v>746528</v>
      </c>
      <c r="I50" s="709">
        <v>192630</v>
      </c>
      <c r="J50" s="1055">
        <v>70836</v>
      </c>
      <c r="K50" s="738">
        <v>12041</v>
      </c>
      <c r="L50" s="708">
        <v>62111</v>
      </c>
      <c r="M50" s="709">
        <v>22683</v>
      </c>
      <c r="N50" s="1240" t="s">
        <v>316</v>
      </c>
      <c r="O50" s="1240">
        <v>3</v>
      </c>
    </row>
    <row r="51" spans="1:15">
      <c r="A51" s="848" t="s">
        <v>2192</v>
      </c>
      <c r="B51" s="850">
        <f t="shared" ref="B51:M51" si="8">SUM(B52:B54)</f>
        <v>0</v>
      </c>
      <c r="C51" s="850">
        <f t="shared" si="8"/>
        <v>0</v>
      </c>
      <c r="D51" s="850">
        <f t="shared" si="8"/>
        <v>0</v>
      </c>
      <c r="E51" s="850">
        <f t="shared" si="8"/>
        <v>0</v>
      </c>
      <c r="F51" s="850">
        <f t="shared" si="8"/>
        <v>0</v>
      </c>
      <c r="G51" s="850">
        <f t="shared" si="8"/>
        <v>0</v>
      </c>
      <c r="H51" s="850">
        <f t="shared" si="8"/>
        <v>0</v>
      </c>
      <c r="I51" s="850">
        <f t="shared" si="8"/>
        <v>0</v>
      </c>
      <c r="J51" s="850">
        <f t="shared" si="8"/>
        <v>0</v>
      </c>
      <c r="K51" s="850">
        <f t="shared" si="8"/>
        <v>0</v>
      </c>
      <c r="L51" s="850">
        <f t="shared" si="8"/>
        <v>0</v>
      </c>
      <c r="M51" s="850">
        <f t="shared" si="8"/>
        <v>0</v>
      </c>
      <c r="N51" s="1240" t="s">
        <v>1081</v>
      </c>
      <c r="O51" s="1240">
        <v>0</v>
      </c>
    </row>
    <row r="52" spans="1:15">
      <c r="A52" s="843" t="s">
        <v>714</v>
      </c>
      <c r="B52" s="708"/>
      <c r="C52" s="708"/>
      <c r="D52" s="708"/>
      <c r="E52" s="709"/>
      <c r="F52" s="709"/>
      <c r="G52" s="709"/>
      <c r="H52" s="708"/>
      <c r="I52" s="709"/>
      <c r="J52" s="1055"/>
      <c r="K52" s="738"/>
      <c r="L52" s="708"/>
      <c r="M52" s="709"/>
      <c r="N52" s="1240" t="s">
        <v>1081</v>
      </c>
      <c r="O52" s="1240">
        <v>1</v>
      </c>
    </row>
    <row r="53" spans="1:15">
      <c r="A53" s="843" t="s">
        <v>715</v>
      </c>
      <c r="B53" s="708"/>
      <c r="C53" s="708"/>
      <c r="D53" s="708"/>
      <c r="E53" s="709"/>
      <c r="F53" s="709"/>
      <c r="G53" s="709"/>
      <c r="H53" s="708"/>
      <c r="I53" s="709"/>
      <c r="J53" s="1055"/>
      <c r="K53" s="738"/>
      <c r="L53" s="708"/>
      <c r="M53" s="709"/>
      <c r="N53" s="1240" t="s">
        <v>1081</v>
      </c>
      <c r="O53" s="1240">
        <v>2</v>
      </c>
    </row>
    <row r="54" spans="1:15">
      <c r="A54" s="843" t="s">
        <v>670</v>
      </c>
      <c r="B54" s="708"/>
      <c r="C54" s="708"/>
      <c r="D54" s="708"/>
      <c r="E54" s="709"/>
      <c r="F54" s="709"/>
      <c r="G54" s="709"/>
      <c r="H54" s="708"/>
      <c r="I54" s="709"/>
      <c r="J54" s="1055"/>
      <c r="K54" s="738"/>
      <c r="L54" s="708"/>
      <c r="M54" s="709"/>
      <c r="N54" s="1240" t="s">
        <v>1081</v>
      </c>
      <c r="O54" s="1240">
        <v>3</v>
      </c>
    </row>
    <row r="55" spans="1:15">
      <c r="A55" s="848" t="s">
        <v>1082</v>
      </c>
      <c r="B55" s="850">
        <f>SUM(B56:B57)</f>
        <v>1165425</v>
      </c>
      <c r="C55" s="850">
        <f t="shared" ref="C55:M55" si="9">SUM(C56:C57)</f>
        <v>1930593</v>
      </c>
      <c r="D55" s="850">
        <f t="shared" si="9"/>
        <v>213597</v>
      </c>
      <c r="E55" s="850">
        <f t="shared" si="9"/>
        <v>339879</v>
      </c>
      <c r="F55" s="850">
        <f t="shared" si="9"/>
        <v>6184</v>
      </c>
      <c r="G55" s="850">
        <f t="shared" si="9"/>
        <v>8372</v>
      </c>
      <c r="H55" s="850">
        <f t="shared" si="9"/>
        <v>7646</v>
      </c>
      <c r="I55" s="850">
        <f t="shared" si="9"/>
        <v>2811</v>
      </c>
      <c r="J55" s="850">
        <f t="shared" si="9"/>
        <v>4251</v>
      </c>
      <c r="K55" s="850">
        <f t="shared" si="9"/>
        <v>12320</v>
      </c>
      <c r="L55" s="850">
        <f t="shared" si="9"/>
        <v>9150</v>
      </c>
      <c r="M55" s="850">
        <f t="shared" si="9"/>
        <v>15737</v>
      </c>
      <c r="N55" s="1240" t="s">
        <v>694</v>
      </c>
      <c r="O55" s="1240">
        <v>0</v>
      </c>
    </row>
    <row r="56" spans="1:15">
      <c r="A56" s="843" t="s">
        <v>715</v>
      </c>
      <c r="B56" s="708">
        <v>188806</v>
      </c>
      <c r="C56" s="708">
        <v>276910</v>
      </c>
      <c r="D56" s="708">
        <v>36253</v>
      </c>
      <c r="E56" s="709">
        <v>52580</v>
      </c>
      <c r="F56" s="709">
        <v>2812</v>
      </c>
      <c r="G56" s="709">
        <v>5795</v>
      </c>
      <c r="H56" s="708">
        <v>2387</v>
      </c>
      <c r="I56" s="709">
        <v>172</v>
      </c>
      <c r="J56" s="1055">
        <v>913</v>
      </c>
      <c r="K56" s="738">
        <v>4728</v>
      </c>
      <c r="L56" s="708">
        <v>1302</v>
      </c>
      <c r="M56" s="709">
        <v>2192</v>
      </c>
      <c r="N56" s="1240" t="s">
        <v>694</v>
      </c>
      <c r="O56" s="1240">
        <v>2</v>
      </c>
    </row>
    <row r="57" spans="1:15">
      <c r="A57" s="843" t="s">
        <v>670</v>
      </c>
      <c r="B57" s="708">
        <v>976619</v>
      </c>
      <c r="C57" s="708">
        <v>1653683</v>
      </c>
      <c r="D57" s="708">
        <v>177344</v>
      </c>
      <c r="E57" s="709">
        <v>287299</v>
      </c>
      <c r="F57" s="709">
        <v>3372</v>
      </c>
      <c r="G57" s="709">
        <v>2577</v>
      </c>
      <c r="H57" s="708">
        <v>5259</v>
      </c>
      <c r="I57" s="709">
        <v>2639</v>
      </c>
      <c r="J57" s="1055">
        <v>3338</v>
      </c>
      <c r="K57" s="738">
        <v>7592</v>
      </c>
      <c r="L57" s="708">
        <v>7848</v>
      </c>
      <c r="M57" s="709">
        <v>13545</v>
      </c>
      <c r="N57" s="1240" t="s">
        <v>694</v>
      </c>
      <c r="O57" s="1240">
        <v>3</v>
      </c>
    </row>
    <row r="58" spans="1:15">
      <c r="A58" s="849" t="s">
        <v>768</v>
      </c>
      <c r="B58" s="850">
        <f>B19+B23+B27+B31+B35+B39+B43+B47+B51+B55</f>
        <v>51313074</v>
      </c>
      <c r="C58" s="850">
        <f t="shared" ref="C58:M58" si="10">C19+C23+C27+C31+C35+C39+C43+C47+C51+C55</f>
        <v>83344721</v>
      </c>
      <c r="D58" s="850">
        <f t="shared" si="10"/>
        <v>10043879</v>
      </c>
      <c r="E58" s="850">
        <f t="shared" si="10"/>
        <v>14857447</v>
      </c>
      <c r="F58" s="850">
        <f t="shared" si="10"/>
        <v>782574</v>
      </c>
      <c r="G58" s="850">
        <f t="shared" si="10"/>
        <v>1006953</v>
      </c>
      <c r="H58" s="850">
        <f t="shared" si="10"/>
        <v>1601478</v>
      </c>
      <c r="I58" s="850">
        <f t="shared" si="10"/>
        <v>1397323</v>
      </c>
      <c r="J58" s="850">
        <f t="shared" si="10"/>
        <v>360501</v>
      </c>
      <c r="K58" s="850">
        <f t="shared" si="10"/>
        <v>617794</v>
      </c>
      <c r="L58" s="850">
        <f t="shared" si="10"/>
        <v>378916</v>
      </c>
      <c r="M58" s="850">
        <f t="shared" si="10"/>
        <v>661236</v>
      </c>
      <c r="N58" s="1243" t="s">
        <v>697</v>
      </c>
      <c r="O58" s="1240">
        <v>0</v>
      </c>
    </row>
    <row r="59" spans="1:15">
      <c r="B59" s="1244">
        <v>1</v>
      </c>
      <c r="C59" s="1244">
        <v>2</v>
      </c>
      <c r="D59" s="1244">
        <v>1</v>
      </c>
      <c r="E59" s="1244">
        <v>2</v>
      </c>
      <c r="F59" s="1244">
        <v>1</v>
      </c>
      <c r="G59" s="1244">
        <v>2</v>
      </c>
      <c r="H59" s="1244">
        <v>1</v>
      </c>
      <c r="I59" s="1244">
        <v>2</v>
      </c>
      <c r="J59" s="1244">
        <v>1</v>
      </c>
      <c r="K59" s="1244">
        <v>2</v>
      </c>
      <c r="L59" s="1245">
        <v>1</v>
      </c>
      <c r="M59" s="1246">
        <v>2</v>
      </c>
      <c r="N59" s="1240" t="s">
        <v>1307</v>
      </c>
    </row>
    <row r="60" spans="1:15">
      <c r="B60" s="1225">
        <v>1</v>
      </c>
      <c r="C60" s="1225">
        <v>1</v>
      </c>
      <c r="D60" s="1225">
        <v>2</v>
      </c>
      <c r="E60" s="1225">
        <v>2</v>
      </c>
      <c r="F60" s="1225">
        <v>3</v>
      </c>
      <c r="G60" s="1225">
        <v>3</v>
      </c>
      <c r="H60" s="1225">
        <v>4</v>
      </c>
      <c r="I60" s="1225">
        <v>4</v>
      </c>
      <c r="J60" s="1225">
        <v>5</v>
      </c>
      <c r="K60" s="1225">
        <v>5</v>
      </c>
      <c r="L60" s="1245">
        <v>6</v>
      </c>
      <c r="M60" s="1246">
        <v>6</v>
      </c>
      <c r="N60" s="1240" t="s">
        <v>1126</v>
      </c>
    </row>
    <row r="62" spans="1:15">
      <c r="A62" s="2783" t="s">
        <v>2385</v>
      </c>
      <c r="B62" s="2783"/>
      <c r="C62" s="2783"/>
      <c r="D62" s="2783"/>
      <c r="E62" s="2783"/>
      <c r="F62" s="634" t="s">
        <v>1124</v>
      </c>
    </row>
    <row r="64" spans="1:15" ht="60" customHeight="1">
      <c r="A64" s="2805" t="s">
        <v>609</v>
      </c>
      <c r="B64" s="2796" t="s">
        <v>2102</v>
      </c>
      <c r="C64" s="2796"/>
      <c r="D64" s="2796" t="s">
        <v>248</v>
      </c>
      <c r="E64" s="2796"/>
      <c r="F64" s="2796" t="s">
        <v>249</v>
      </c>
      <c r="G64" s="2796"/>
      <c r="H64" s="1247" t="s">
        <v>1994</v>
      </c>
      <c r="I64" s="1247" t="s">
        <v>1013</v>
      </c>
    </row>
    <row r="65" spans="1:9">
      <c r="A65" s="2806"/>
      <c r="B65" s="2799" t="s">
        <v>434</v>
      </c>
      <c r="C65" s="2799"/>
      <c r="D65" s="2799" t="s">
        <v>246</v>
      </c>
      <c r="E65" s="2799"/>
      <c r="F65" s="2799" t="s">
        <v>247</v>
      </c>
      <c r="G65" s="2799"/>
      <c r="H65" s="241"/>
      <c r="I65" s="241"/>
    </row>
    <row r="66" spans="1:9">
      <c r="A66" s="2807"/>
      <c r="B66" s="345" t="s">
        <v>707</v>
      </c>
      <c r="C66" s="345" t="s">
        <v>708</v>
      </c>
      <c r="D66" s="345" t="s">
        <v>707</v>
      </c>
      <c r="E66" s="345" t="s">
        <v>708</v>
      </c>
      <c r="F66" s="345" t="s">
        <v>707</v>
      </c>
      <c r="G66" s="345" t="s">
        <v>708</v>
      </c>
      <c r="H66" s="1004" t="s">
        <v>1013</v>
      </c>
      <c r="I66" s="241"/>
    </row>
    <row r="67" spans="1:9">
      <c r="A67" s="924" t="s">
        <v>1915</v>
      </c>
      <c r="B67" s="996">
        <f t="shared" ref="B67:G67" si="11">SUM(B68:B70)</f>
        <v>2955661</v>
      </c>
      <c r="C67" s="996">
        <f t="shared" si="11"/>
        <v>3464196</v>
      </c>
      <c r="D67" s="996">
        <f t="shared" si="11"/>
        <v>798985</v>
      </c>
      <c r="E67" s="996">
        <f t="shared" si="11"/>
        <v>952536</v>
      </c>
      <c r="F67" s="996">
        <f t="shared" si="11"/>
        <v>47985</v>
      </c>
      <c r="G67" s="996">
        <f t="shared" si="11"/>
        <v>49236</v>
      </c>
      <c r="H67" s="1240" t="s">
        <v>1852</v>
      </c>
      <c r="I67" s="1240">
        <v>0</v>
      </c>
    </row>
    <row r="68" spans="1:9" ht="15.75" customHeight="1">
      <c r="A68" s="346" t="s">
        <v>714</v>
      </c>
      <c r="B68" s="708">
        <v>1400392</v>
      </c>
      <c r="C68" s="708">
        <v>1547352</v>
      </c>
      <c r="D68" s="708">
        <v>515244</v>
      </c>
      <c r="E68" s="708">
        <v>552651</v>
      </c>
      <c r="F68" s="708">
        <v>0</v>
      </c>
      <c r="G68" s="709">
        <v>0</v>
      </c>
      <c r="H68" s="1240" t="s">
        <v>1852</v>
      </c>
      <c r="I68" s="1240">
        <v>1</v>
      </c>
    </row>
    <row r="69" spans="1:9">
      <c r="A69" s="346" t="s">
        <v>715</v>
      </c>
      <c r="B69" s="708">
        <v>202277</v>
      </c>
      <c r="C69" s="708">
        <v>438213</v>
      </c>
      <c r="D69" s="708">
        <v>60912</v>
      </c>
      <c r="E69" s="708">
        <v>129298</v>
      </c>
      <c r="F69" s="708">
        <v>250</v>
      </c>
      <c r="G69" s="709">
        <v>269</v>
      </c>
      <c r="H69" s="1240" t="s">
        <v>1852</v>
      </c>
      <c r="I69" s="1240">
        <v>2</v>
      </c>
    </row>
    <row r="70" spans="1:9">
      <c r="A70" s="346" t="s">
        <v>670</v>
      </c>
      <c r="B70" s="708">
        <v>1352992</v>
      </c>
      <c r="C70" s="708">
        <v>1478631</v>
      </c>
      <c r="D70" s="708">
        <v>222829</v>
      </c>
      <c r="E70" s="708">
        <v>270587</v>
      </c>
      <c r="F70" s="708">
        <v>47735</v>
      </c>
      <c r="G70" s="709">
        <v>48967</v>
      </c>
      <c r="H70" s="1240" t="s">
        <v>1852</v>
      </c>
      <c r="I70" s="1240">
        <v>3</v>
      </c>
    </row>
    <row r="71" spans="1:9">
      <c r="A71" s="844" t="s">
        <v>673</v>
      </c>
      <c r="B71" s="996">
        <f t="shared" ref="B71:G71" si="12">SUM(B72:B74)</f>
        <v>2291539</v>
      </c>
      <c r="C71" s="996">
        <f t="shared" si="12"/>
        <v>3339922</v>
      </c>
      <c r="D71" s="996">
        <f t="shared" si="12"/>
        <v>542535</v>
      </c>
      <c r="E71" s="996">
        <f t="shared" si="12"/>
        <v>325220</v>
      </c>
      <c r="F71" s="996">
        <f t="shared" si="12"/>
        <v>25497</v>
      </c>
      <c r="G71" s="996">
        <f t="shared" si="12"/>
        <v>84197</v>
      </c>
      <c r="H71" s="1240" t="s">
        <v>1249</v>
      </c>
      <c r="I71" s="1240">
        <v>0</v>
      </c>
    </row>
    <row r="72" spans="1:9" ht="15.75" customHeight="1">
      <c r="A72" s="346" t="s">
        <v>714</v>
      </c>
      <c r="B72" s="708">
        <v>543182</v>
      </c>
      <c r="C72" s="708">
        <v>143415</v>
      </c>
      <c r="D72" s="708">
        <v>205783</v>
      </c>
      <c r="E72" s="708">
        <v>76305</v>
      </c>
      <c r="F72" s="708">
        <v>0</v>
      </c>
      <c r="G72" s="709">
        <v>0</v>
      </c>
      <c r="H72" s="1240" t="s">
        <v>1249</v>
      </c>
      <c r="I72" s="1240">
        <v>1</v>
      </c>
    </row>
    <row r="73" spans="1:9">
      <c r="A73" s="346" t="s">
        <v>715</v>
      </c>
      <c r="B73" s="708">
        <v>436829</v>
      </c>
      <c r="C73" s="708">
        <v>141200</v>
      </c>
      <c r="D73" s="708">
        <v>103147</v>
      </c>
      <c r="E73" s="708">
        <v>36945</v>
      </c>
      <c r="F73" s="708">
        <v>0</v>
      </c>
      <c r="G73" s="709">
        <v>8173</v>
      </c>
      <c r="H73" s="1240" t="s">
        <v>1249</v>
      </c>
      <c r="I73" s="1240">
        <v>2</v>
      </c>
    </row>
    <row r="74" spans="1:9">
      <c r="A74" s="346" t="s">
        <v>670</v>
      </c>
      <c r="B74" s="708">
        <v>1311528</v>
      </c>
      <c r="C74" s="708">
        <v>3055307</v>
      </c>
      <c r="D74" s="708">
        <v>233605</v>
      </c>
      <c r="E74" s="708">
        <v>211970</v>
      </c>
      <c r="F74" s="708">
        <v>25497</v>
      </c>
      <c r="G74" s="709">
        <v>76024</v>
      </c>
      <c r="H74" s="1240" t="s">
        <v>1249</v>
      </c>
      <c r="I74" s="1240">
        <v>3</v>
      </c>
    </row>
    <row r="75" spans="1:9">
      <c r="A75" s="845" t="s">
        <v>1250</v>
      </c>
      <c r="B75" s="996">
        <f t="shared" ref="B75:G75" si="13">SUM(B76:B78)</f>
        <v>686572</v>
      </c>
      <c r="C75" s="996">
        <f t="shared" si="13"/>
        <v>695180</v>
      </c>
      <c r="D75" s="996">
        <f t="shared" si="13"/>
        <v>64549</v>
      </c>
      <c r="E75" s="996">
        <f t="shared" si="13"/>
        <v>70114</v>
      </c>
      <c r="F75" s="996">
        <f t="shared" si="13"/>
        <v>3029</v>
      </c>
      <c r="G75" s="996">
        <f t="shared" si="13"/>
        <v>0</v>
      </c>
      <c r="H75" s="1240" t="s">
        <v>375</v>
      </c>
      <c r="I75" s="1240">
        <v>0</v>
      </c>
    </row>
    <row r="76" spans="1:9" ht="15.75" customHeight="1">
      <c r="A76" s="346" t="s">
        <v>714</v>
      </c>
      <c r="B76" s="708">
        <v>329730</v>
      </c>
      <c r="C76" s="708">
        <v>152653</v>
      </c>
      <c r="D76" s="708">
        <v>27952</v>
      </c>
      <c r="E76" s="708">
        <v>15120</v>
      </c>
      <c r="F76" s="708">
        <v>2396</v>
      </c>
      <c r="G76" s="709">
        <v>0</v>
      </c>
      <c r="H76" s="1240" t="s">
        <v>375</v>
      </c>
      <c r="I76" s="1240">
        <v>1</v>
      </c>
    </row>
    <row r="77" spans="1:9">
      <c r="A77" s="346" t="s">
        <v>715</v>
      </c>
      <c r="B77" s="708">
        <v>326488</v>
      </c>
      <c r="C77" s="708">
        <v>520622</v>
      </c>
      <c r="D77" s="708">
        <v>32308</v>
      </c>
      <c r="E77" s="708">
        <v>51467</v>
      </c>
      <c r="F77" s="708">
        <v>633</v>
      </c>
      <c r="G77" s="709">
        <v>0</v>
      </c>
      <c r="H77" s="1240" t="s">
        <v>375</v>
      </c>
      <c r="I77" s="1240">
        <v>2</v>
      </c>
    </row>
    <row r="78" spans="1:9">
      <c r="A78" s="346" t="s">
        <v>670</v>
      </c>
      <c r="B78" s="708">
        <v>30354</v>
      </c>
      <c r="C78" s="708">
        <v>21905</v>
      </c>
      <c r="D78" s="708">
        <v>4289</v>
      </c>
      <c r="E78" s="708">
        <v>3527</v>
      </c>
      <c r="F78" s="708">
        <v>0</v>
      </c>
      <c r="G78" s="709">
        <v>0</v>
      </c>
      <c r="H78" s="1240" t="s">
        <v>375</v>
      </c>
      <c r="I78" s="1240">
        <v>3</v>
      </c>
    </row>
    <row r="79" spans="1:9">
      <c r="A79" s="846" t="s">
        <v>376</v>
      </c>
      <c r="B79" s="996">
        <f t="shared" ref="B79:G79" si="14">SUM(B80:B82)</f>
        <v>322004</v>
      </c>
      <c r="C79" s="996">
        <f t="shared" si="14"/>
        <v>347328</v>
      </c>
      <c r="D79" s="996">
        <f t="shared" si="14"/>
        <v>60981</v>
      </c>
      <c r="E79" s="996">
        <f t="shared" si="14"/>
        <v>62849</v>
      </c>
      <c r="F79" s="996">
        <f t="shared" si="14"/>
        <v>169</v>
      </c>
      <c r="G79" s="996">
        <f t="shared" si="14"/>
        <v>392</v>
      </c>
      <c r="H79" s="1240" t="s">
        <v>1194</v>
      </c>
      <c r="I79" s="1240">
        <v>0</v>
      </c>
    </row>
    <row r="80" spans="1:9" ht="15.75" customHeight="1">
      <c r="A80" s="346" t="s">
        <v>714</v>
      </c>
      <c r="B80" s="708">
        <v>0</v>
      </c>
      <c r="C80" s="708">
        <v>0</v>
      </c>
      <c r="D80" s="708">
        <v>0</v>
      </c>
      <c r="E80" s="708">
        <v>0</v>
      </c>
      <c r="F80" s="708">
        <v>0</v>
      </c>
      <c r="G80" s="709">
        <v>0</v>
      </c>
      <c r="H80" s="1240" t="s">
        <v>1194</v>
      </c>
      <c r="I80" s="1240">
        <v>1</v>
      </c>
    </row>
    <row r="81" spans="1:9">
      <c r="A81" s="346" t="s">
        <v>715</v>
      </c>
      <c r="B81" s="708">
        <v>322004</v>
      </c>
      <c r="C81" s="708">
        <v>325035</v>
      </c>
      <c r="D81" s="708">
        <v>60981</v>
      </c>
      <c r="E81" s="708">
        <v>59541</v>
      </c>
      <c r="F81" s="708">
        <v>169</v>
      </c>
      <c r="G81" s="709">
        <v>392</v>
      </c>
      <c r="H81" s="1240" t="s">
        <v>1194</v>
      </c>
      <c r="I81" s="1240">
        <v>2</v>
      </c>
    </row>
    <row r="82" spans="1:9">
      <c r="A82" s="346" t="s">
        <v>670</v>
      </c>
      <c r="B82" s="708">
        <v>0</v>
      </c>
      <c r="C82" s="708">
        <v>22293</v>
      </c>
      <c r="D82" s="708">
        <v>0</v>
      </c>
      <c r="E82" s="708">
        <v>3308</v>
      </c>
      <c r="F82" s="708">
        <v>0</v>
      </c>
      <c r="G82" s="709">
        <v>0</v>
      </c>
      <c r="H82" s="1240" t="s">
        <v>1194</v>
      </c>
      <c r="I82" s="1240">
        <v>3</v>
      </c>
    </row>
    <row r="83" spans="1:9">
      <c r="A83" s="846" t="s">
        <v>1195</v>
      </c>
      <c r="B83" s="996">
        <f t="shared" ref="B83:G83" si="15">SUM(B84:B86)</f>
        <v>0</v>
      </c>
      <c r="C83" s="996">
        <f t="shared" si="15"/>
        <v>3546371</v>
      </c>
      <c r="D83" s="996">
        <f t="shared" si="15"/>
        <v>0</v>
      </c>
      <c r="E83" s="996">
        <f t="shared" si="15"/>
        <v>546184</v>
      </c>
      <c r="F83" s="996">
        <f t="shared" si="15"/>
        <v>0</v>
      </c>
      <c r="G83" s="996">
        <f t="shared" si="15"/>
        <v>398</v>
      </c>
      <c r="H83" s="1240" t="s">
        <v>1573</v>
      </c>
      <c r="I83" s="1240">
        <v>0</v>
      </c>
    </row>
    <row r="84" spans="1:9" ht="15.75" customHeight="1">
      <c r="A84" s="346" t="s">
        <v>714</v>
      </c>
      <c r="B84" s="708">
        <v>0</v>
      </c>
      <c r="C84" s="708">
        <v>342827</v>
      </c>
      <c r="D84" s="708">
        <v>0</v>
      </c>
      <c r="E84" s="708">
        <v>64163</v>
      </c>
      <c r="F84" s="708">
        <v>0</v>
      </c>
      <c r="G84" s="709">
        <v>0</v>
      </c>
      <c r="H84" s="1241" t="s">
        <v>1573</v>
      </c>
      <c r="I84" s="1240">
        <v>1</v>
      </c>
    </row>
    <row r="85" spans="1:9">
      <c r="A85" s="346" t="s">
        <v>715</v>
      </c>
      <c r="B85" s="708">
        <v>0</v>
      </c>
      <c r="C85" s="708">
        <v>0</v>
      </c>
      <c r="D85" s="708">
        <v>0</v>
      </c>
      <c r="E85" s="708">
        <v>0</v>
      </c>
      <c r="F85" s="708">
        <v>0</v>
      </c>
      <c r="G85" s="709">
        <v>0</v>
      </c>
      <c r="H85" s="1242" t="s">
        <v>1573</v>
      </c>
      <c r="I85" s="1240">
        <v>2</v>
      </c>
    </row>
    <row r="86" spans="1:9">
      <c r="A86" s="346" t="s">
        <v>670</v>
      </c>
      <c r="B86" s="708">
        <v>0</v>
      </c>
      <c r="C86" s="708">
        <v>3203544</v>
      </c>
      <c r="D86" s="708">
        <v>0</v>
      </c>
      <c r="E86" s="708">
        <v>482021</v>
      </c>
      <c r="F86" s="708">
        <v>0</v>
      </c>
      <c r="G86" s="709">
        <v>398</v>
      </c>
      <c r="H86" s="1240" t="s">
        <v>1573</v>
      </c>
      <c r="I86" s="1240">
        <v>3</v>
      </c>
    </row>
    <row r="87" spans="1:9">
      <c r="A87" s="847" t="s">
        <v>1574</v>
      </c>
      <c r="B87" s="996">
        <f t="shared" ref="B87:G87" si="16">SUM(B88:B90)</f>
        <v>66403</v>
      </c>
      <c r="C87" s="996">
        <f t="shared" si="16"/>
        <v>2136015</v>
      </c>
      <c r="D87" s="996">
        <f t="shared" si="16"/>
        <v>12510</v>
      </c>
      <c r="E87" s="996">
        <f t="shared" si="16"/>
        <v>524896</v>
      </c>
      <c r="F87" s="996">
        <f t="shared" si="16"/>
        <v>160</v>
      </c>
      <c r="G87" s="996">
        <f t="shared" si="16"/>
        <v>260</v>
      </c>
      <c r="H87" s="1240" t="s">
        <v>2126</v>
      </c>
      <c r="I87" s="1240">
        <v>0</v>
      </c>
    </row>
    <row r="88" spans="1:9" ht="15.75" customHeight="1" thickBot="1">
      <c r="A88" s="346" t="s">
        <v>714</v>
      </c>
      <c r="B88" s="1856">
        <v>66403</v>
      </c>
      <c r="C88" s="708">
        <v>249429</v>
      </c>
      <c r="D88" s="1856">
        <v>12510</v>
      </c>
      <c r="E88" s="708">
        <v>48497</v>
      </c>
      <c r="F88" s="1856">
        <v>160</v>
      </c>
      <c r="G88" s="709">
        <v>100</v>
      </c>
      <c r="H88" s="1240" t="s">
        <v>2126</v>
      </c>
      <c r="I88" s="1240">
        <v>1</v>
      </c>
    </row>
    <row r="89" spans="1:9">
      <c r="A89" s="346" t="s">
        <v>715</v>
      </c>
      <c r="B89" s="708">
        <v>0</v>
      </c>
      <c r="C89" s="708">
        <v>0</v>
      </c>
      <c r="D89" s="708">
        <v>0</v>
      </c>
      <c r="E89" s="708">
        <v>0</v>
      </c>
      <c r="F89" s="708">
        <v>0</v>
      </c>
      <c r="G89" s="709">
        <v>0</v>
      </c>
      <c r="H89" s="1240" t="s">
        <v>2126</v>
      </c>
      <c r="I89" s="1240">
        <v>2</v>
      </c>
    </row>
    <row r="90" spans="1:9">
      <c r="A90" s="346" t="s">
        <v>670</v>
      </c>
      <c r="B90" s="708">
        <v>0</v>
      </c>
      <c r="C90" s="708">
        <v>1886586</v>
      </c>
      <c r="D90" s="708">
        <v>0</v>
      </c>
      <c r="E90" s="708">
        <v>476399</v>
      </c>
      <c r="F90" s="708">
        <v>0</v>
      </c>
      <c r="G90" s="709">
        <v>160</v>
      </c>
      <c r="H90" s="1240" t="s">
        <v>2126</v>
      </c>
      <c r="I90" s="1240">
        <v>3</v>
      </c>
    </row>
    <row r="91" spans="1:9">
      <c r="A91" s="847" t="s">
        <v>2127</v>
      </c>
      <c r="B91" s="996">
        <f t="shared" ref="B91:G91" si="17">SUM(B92:B94)</f>
        <v>41822</v>
      </c>
      <c r="C91" s="996">
        <f t="shared" si="17"/>
        <v>0</v>
      </c>
      <c r="D91" s="996">
        <f t="shared" si="17"/>
        <v>1093</v>
      </c>
      <c r="E91" s="996">
        <f t="shared" si="17"/>
        <v>0</v>
      </c>
      <c r="F91" s="996">
        <f t="shared" si="17"/>
        <v>88</v>
      </c>
      <c r="G91" s="996">
        <f t="shared" si="17"/>
        <v>0</v>
      </c>
      <c r="H91" s="1240" t="s">
        <v>1649</v>
      </c>
      <c r="I91" s="1240">
        <v>0</v>
      </c>
    </row>
    <row r="92" spans="1:9" ht="15.75" customHeight="1" thickBot="1">
      <c r="A92" s="346" t="s">
        <v>714</v>
      </c>
      <c r="B92" s="1856">
        <v>41822</v>
      </c>
      <c r="C92" s="708">
        <v>0</v>
      </c>
      <c r="D92" s="1856">
        <v>1093</v>
      </c>
      <c r="E92" s="708">
        <v>0</v>
      </c>
      <c r="F92" s="1856">
        <v>88</v>
      </c>
      <c r="G92" s="709">
        <v>0</v>
      </c>
      <c r="H92" s="1240" t="s">
        <v>1649</v>
      </c>
      <c r="I92" s="1240">
        <v>1</v>
      </c>
    </row>
    <row r="93" spans="1:9">
      <c r="A93" s="346" t="s">
        <v>715</v>
      </c>
      <c r="B93" s="708">
        <v>0</v>
      </c>
      <c r="C93" s="708">
        <v>0</v>
      </c>
      <c r="D93" s="708">
        <v>0</v>
      </c>
      <c r="E93" s="708">
        <v>0</v>
      </c>
      <c r="F93" s="708">
        <v>0</v>
      </c>
      <c r="G93" s="709">
        <v>0</v>
      </c>
      <c r="H93" s="1240" t="s">
        <v>1649</v>
      </c>
      <c r="I93" s="1240">
        <v>2</v>
      </c>
    </row>
    <row r="94" spans="1:9">
      <c r="A94" s="346" t="s">
        <v>670</v>
      </c>
      <c r="B94" s="708">
        <v>0</v>
      </c>
      <c r="C94" s="708">
        <v>0</v>
      </c>
      <c r="D94" s="708">
        <v>0</v>
      </c>
      <c r="E94" s="708">
        <v>0</v>
      </c>
      <c r="F94" s="708">
        <v>0</v>
      </c>
      <c r="G94" s="709">
        <v>0</v>
      </c>
      <c r="H94" s="1240" t="s">
        <v>1649</v>
      </c>
      <c r="I94" s="1240">
        <v>3</v>
      </c>
    </row>
    <row r="95" spans="1:9">
      <c r="A95" s="847" t="s">
        <v>1650</v>
      </c>
      <c r="B95" s="996">
        <f t="shared" ref="B95:G95" si="18">SUM(B96:B98)</f>
        <v>0</v>
      </c>
      <c r="C95" s="996">
        <f t="shared" si="18"/>
        <v>0</v>
      </c>
      <c r="D95" s="996">
        <f t="shared" si="18"/>
        <v>0</v>
      </c>
      <c r="E95" s="996">
        <f t="shared" si="18"/>
        <v>0</v>
      </c>
      <c r="F95" s="996">
        <f t="shared" si="18"/>
        <v>0</v>
      </c>
      <c r="G95" s="996">
        <f t="shared" si="18"/>
        <v>0</v>
      </c>
      <c r="H95" s="1240" t="s">
        <v>316</v>
      </c>
      <c r="I95" s="1240">
        <v>0</v>
      </c>
    </row>
    <row r="96" spans="1:9" ht="15.75" customHeight="1">
      <c r="A96" s="346" t="s">
        <v>714</v>
      </c>
      <c r="B96" s="708">
        <v>0</v>
      </c>
      <c r="C96" s="708">
        <v>0</v>
      </c>
      <c r="D96" s="708">
        <v>0</v>
      </c>
      <c r="E96" s="708">
        <v>0</v>
      </c>
      <c r="F96" s="708">
        <v>0</v>
      </c>
      <c r="G96" s="709">
        <v>0</v>
      </c>
      <c r="H96" s="1240" t="s">
        <v>316</v>
      </c>
      <c r="I96" s="1240">
        <v>1</v>
      </c>
    </row>
    <row r="97" spans="1:9">
      <c r="A97" s="346" t="s">
        <v>715</v>
      </c>
      <c r="B97" s="708">
        <v>0</v>
      </c>
      <c r="C97" s="708">
        <v>0</v>
      </c>
      <c r="D97" s="708">
        <v>0</v>
      </c>
      <c r="E97" s="708">
        <v>0</v>
      </c>
      <c r="F97" s="708">
        <v>0</v>
      </c>
      <c r="G97" s="709">
        <v>0</v>
      </c>
      <c r="H97" s="1240" t="s">
        <v>316</v>
      </c>
      <c r="I97" s="1240">
        <v>2</v>
      </c>
    </row>
    <row r="98" spans="1:9">
      <c r="A98" s="346" t="s">
        <v>670</v>
      </c>
      <c r="B98" s="708">
        <v>0</v>
      </c>
      <c r="C98" s="708">
        <v>0</v>
      </c>
      <c r="D98" s="708">
        <v>0</v>
      </c>
      <c r="E98" s="708">
        <v>0</v>
      </c>
      <c r="F98" s="708">
        <v>0</v>
      </c>
      <c r="G98" s="709">
        <v>0</v>
      </c>
      <c r="H98" s="1240" t="s">
        <v>316</v>
      </c>
      <c r="I98" s="1240">
        <v>3</v>
      </c>
    </row>
    <row r="99" spans="1:9">
      <c r="A99" s="848" t="s">
        <v>2192</v>
      </c>
      <c r="B99" s="996">
        <f t="shared" ref="B99:G99" si="19">SUM(B100:B102)</f>
        <v>0</v>
      </c>
      <c r="C99" s="996">
        <f t="shared" si="19"/>
        <v>0</v>
      </c>
      <c r="D99" s="996">
        <f t="shared" si="19"/>
        <v>0</v>
      </c>
      <c r="E99" s="996">
        <f t="shared" si="19"/>
        <v>0</v>
      </c>
      <c r="F99" s="996">
        <f t="shared" si="19"/>
        <v>0</v>
      </c>
      <c r="G99" s="996">
        <f t="shared" si="19"/>
        <v>0</v>
      </c>
      <c r="H99" s="1240" t="s">
        <v>1081</v>
      </c>
      <c r="I99" s="1240">
        <v>0</v>
      </c>
    </row>
    <row r="100" spans="1:9" ht="15.75" customHeight="1">
      <c r="A100" s="346" t="s">
        <v>714</v>
      </c>
      <c r="B100" s="708">
        <v>0</v>
      </c>
      <c r="C100" s="708">
        <v>0</v>
      </c>
      <c r="D100" s="708">
        <v>0</v>
      </c>
      <c r="E100" s="708">
        <v>0</v>
      </c>
      <c r="F100" s="708">
        <v>0</v>
      </c>
      <c r="G100" s="709">
        <v>0</v>
      </c>
      <c r="H100" s="1240" t="s">
        <v>1081</v>
      </c>
      <c r="I100" s="1240">
        <v>1</v>
      </c>
    </row>
    <row r="101" spans="1:9">
      <c r="A101" s="346" t="s">
        <v>715</v>
      </c>
      <c r="B101" s="708">
        <v>0</v>
      </c>
      <c r="C101" s="708">
        <v>0</v>
      </c>
      <c r="D101" s="708">
        <v>0</v>
      </c>
      <c r="E101" s="708">
        <v>0</v>
      </c>
      <c r="F101" s="708">
        <v>0</v>
      </c>
      <c r="G101" s="709">
        <v>0</v>
      </c>
      <c r="H101" s="1240" t="s">
        <v>1081</v>
      </c>
      <c r="I101" s="1240">
        <v>2</v>
      </c>
    </row>
    <row r="102" spans="1:9">
      <c r="A102" s="346" t="s">
        <v>670</v>
      </c>
      <c r="B102" s="708">
        <v>0</v>
      </c>
      <c r="C102" s="708">
        <v>0</v>
      </c>
      <c r="D102" s="708">
        <v>0</v>
      </c>
      <c r="E102" s="708">
        <v>0</v>
      </c>
      <c r="F102" s="708">
        <v>0</v>
      </c>
      <c r="G102" s="709">
        <v>0</v>
      </c>
      <c r="H102" s="1240" t="s">
        <v>1081</v>
      </c>
      <c r="I102" s="1240">
        <v>3</v>
      </c>
    </row>
    <row r="103" spans="1:9">
      <c r="A103" s="848" t="s">
        <v>1082</v>
      </c>
      <c r="B103" s="996">
        <f t="shared" ref="B103:G103" si="20">SUM(B104:B105)</f>
        <v>241272</v>
      </c>
      <c r="C103" s="996">
        <f t="shared" si="20"/>
        <v>606330</v>
      </c>
      <c r="D103" s="996">
        <f t="shared" si="20"/>
        <v>41784</v>
      </c>
      <c r="E103" s="996">
        <f t="shared" si="20"/>
        <v>96921</v>
      </c>
      <c r="F103" s="996">
        <f t="shared" si="20"/>
        <v>988</v>
      </c>
      <c r="G103" s="996">
        <f t="shared" si="20"/>
        <v>679</v>
      </c>
      <c r="H103" s="1240" t="s">
        <v>694</v>
      </c>
      <c r="I103" s="1240">
        <v>0</v>
      </c>
    </row>
    <row r="104" spans="1:9">
      <c r="A104" s="346" t="s">
        <v>715</v>
      </c>
      <c r="B104" s="708">
        <v>22391</v>
      </c>
      <c r="C104" s="708">
        <v>84535</v>
      </c>
      <c r="D104" s="708">
        <v>3671</v>
      </c>
      <c r="E104" s="708">
        <v>14348</v>
      </c>
      <c r="F104" s="708">
        <v>0</v>
      </c>
      <c r="G104" s="709">
        <v>0</v>
      </c>
      <c r="H104" s="1240" t="s">
        <v>694</v>
      </c>
      <c r="I104" s="1243">
        <v>2</v>
      </c>
    </row>
    <row r="105" spans="1:9">
      <c r="A105" s="346" t="s">
        <v>670</v>
      </c>
      <c r="B105" s="708">
        <v>218881</v>
      </c>
      <c r="C105" s="708">
        <v>521795</v>
      </c>
      <c r="D105" s="708">
        <v>38113</v>
      </c>
      <c r="E105" s="708">
        <v>82573</v>
      </c>
      <c r="F105" s="708">
        <v>988</v>
      </c>
      <c r="G105" s="709">
        <v>679</v>
      </c>
      <c r="H105" s="1240" t="s">
        <v>694</v>
      </c>
      <c r="I105" s="1240">
        <v>3</v>
      </c>
    </row>
    <row r="106" spans="1:9">
      <c r="A106" s="518" t="s">
        <v>768</v>
      </c>
      <c r="B106" s="710">
        <f t="shared" ref="B106:G106" si="21">B67+B71+B75+B79+B83+B87+B91+B95+B99+B103</f>
        <v>6605273</v>
      </c>
      <c r="C106" s="710">
        <f t="shared" si="21"/>
        <v>14135342</v>
      </c>
      <c r="D106" s="710">
        <f t="shared" si="21"/>
        <v>1522437</v>
      </c>
      <c r="E106" s="710">
        <f t="shared" si="21"/>
        <v>2578720</v>
      </c>
      <c r="F106" s="710">
        <f t="shared" si="21"/>
        <v>77916</v>
      </c>
      <c r="G106" s="710">
        <f t="shared" si="21"/>
        <v>135162</v>
      </c>
      <c r="H106" s="1243" t="s">
        <v>697</v>
      </c>
      <c r="I106" s="1240">
        <v>0</v>
      </c>
    </row>
    <row r="107" spans="1:9">
      <c r="B107" s="1242">
        <v>1</v>
      </c>
      <c r="C107" s="1242">
        <v>2</v>
      </c>
      <c r="D107" s="1242">
        <v>1</v>
      </c>
      <c r="E107" s="1242">
        <v>2</v>
      </c>
      <c r="F107" s="1242">
        <v>1</v>
      </c>
      <c r="G107" s="1242">
        <v>2</v>
      </c>
      <c r="H107" s="1242" t="s">
        <v>1307</v>
      </c>
    </row>
    <row r="108" spans="1:9" ht="13.5" thickBot="1">
      <c r="B108" s="1247">
        <v>1</v>
      </c>
      <c r="C108" s="1247">
        <v>1</v>
      </c>
      <c r="D108" s="1247">
        <v>2</v>
      </c>
      <c r="E108" s="1247">
        <v>2</v>
      </c>
      <c r="F108" s="1205">
        <v>3</v>
      </c>
      <c r="G108" s="1205">
        <v>3</v>
      </c>
      <c r="H108" s="1205" t="s">
        <v>1127</v>
      </c>
    </row>
    <row r="109" spans="1:9" ht="15" customHeight="1" thickBot="1">
      <c r="A109" s="2791" t="s">
        <v>2544</v>
      </c>
      <c r="B109" s="2791"/>
      <c r="C109" s="2791"/>
      <c r="D109" s="2791"/>
      <c r="E109" s="2791"/>
      <c r="F109" s="2791"/>
    </row>
    <row r="111" spans="1:9" ht="25.5" customHeight="1">
      <c r="A111" s="2809" t="s">
        <v>2545</v>
      </c>
      <c r="B111" s="2809"/>
      <c r="C111" s="2809"/>
      <c r="D111" s="2809"/>
      <c r="E111" s="2809"/>
      <c r="F111" s="2809"/>
    </row>
    <row r="112" spans="1:9" ht="25.5" customHeight="1">
      <c r="A112" s="2800" t="s">
        <v>2543</v>
      </c>
      <c r="B112" s="2800"/>
      <c r="C112" s="2800"/>
      <c r="D112" s="2800"/>
      <c r="E112" s="2800"/>
      <c r="F112" s="2800"/>
    </row>
    <row r="113" spans="1:6" ht="12.75" customHeight="1">
      <c r="A113" s="2780" t="s">
        <v>2096</v>
      </c>
      <c r="B113" s="2781"/>
      <c r="C113" s="2781"/>
      <c r="D113" s="2781"/>
      <c r="E113" s="2781"/>
      <c r="F113" s="2781"/>
    </row>
    <row r="114" spans="1:6" ht="25.5" customHeight="1">
      <c r="A114" s="2423" t="s">
        <v>250</v>
      </c>
      <c r="B114" s="2748"/>
      <c r="C114" s="2748"/>
      <c r="D114" s="2748"/>
      <c r="E114" s="2748"/>
      <c r="F114" s="2748"/>
    </row>
    <row r="117" spans="1:6" ht="45" customHeight="1">
      <c r="D117" s="2801" t="s">
        <v>435</v>
      </c>
      <c r="E117" s="2801"/>
    </row>
    <row r="118" spans="1:6">
      <c r="D118" s="345" t="s">
        <v>707</v>
      </c>
      <c r="E118" s="345" t="s">
        <v>708</v>
      </c>
      <c r="F118" s="1242" t="s">
        <v>1128</v>
      </c>
    </row>
    <row r="119" spans="1:6">
      <c r="A119" s="2808" t="s">
        <v>351</v>
      </c>
      <c r="B119" s="2808"/>
      <c r="C119" s="2808"/>
      <c r="D119" s="708">
        <v>0</v>
      </c>
      <c r="E119" s="708">
        <v>1890552</v>
      </c>
      <c r="F119" s="1242">
        <v>1</v>
      </c>
    </row>
    <row r="120" spans="1:6">
      <c r="A120" s="2808" t="s">
        <v>180</v>
      </c>
      <c r="B120" s="2808"/>
      <c r="C120" s="2808"/>
      <c r="D120" s="708"/>
      <c r="E120" s="708"/>
      <c r="F120" s="1242">
        <v>2</v>
      </c>
    </row>
    <row r="121" spans="1:6" ht="29.25" customHeight="1">
      <c r="A121" s="2808" t="s">
        <v>1406</v>
      </c>
      <c r="B121" s="2808"/>
      <c r="C121" s="2808"/>
      <c r="D121" s="708">
        <v>3737139</v>
      </c>
      <c r="E121" s="708">
        <v>5441531</v>
      </c>
      <c r="F121" s="1242">
        <v>3</v>
      </c>
    </row>
    <row r="122" spans="1:6">
      <c r="A122" s="2802" t="s">
        <v>768</v>
      </c>
      <c r="B122" s="2803"/>
      <c r="C122" s="2804"/>
      <c r="D122" s="530">
        <f>SUM(D119:D121)</f>
        <v>3737139</v>
      </c>
      <c r="E122" s="530">
        <f>SUM(E119:E121)</f>
        <v>7332083</v>
      </c>
      <c r="F122" s="1242">
        <v>0</v>
      </c>
    </row>
    <row r="123" spans="1:6">
      <c r="D123" s="1242">
        <v>1</v>
      </c>
      <c r="E123" s="1242">
        <v>2</v>
      </c>
      <c r="F123" s="1242" t="s">
        <v>1307</v>
      </c>
    </row>
    <row r="124" spans="1:6" ht="13.5" thickBot="1"/>
    <row r="125" spans="1:6" ht="13.5" thickBot="1">
      <c r="A125" s="2767" t="s">
        <v>436</v>
      </c>
      <c r="B125" s="2767"/>
      <c r="C125" s="2767"/>
      <c r="D125" s="2767"/>
      <c r="E125" s="2767"/>
      <c r="F125" s="2767"/>
    </row>
    <row r="127" spans="1:6">
      <c r="A127" s="979" t="s">
        <v>2105</v>
      </c>
    </row>
    <row r="128" spans="1:6">
      <c r="A128" s="2777" t="s">
        <v>534</v>
      </c>
      <c r="B128" s="2778"/>
      <c r="C128" s="2778"/>
      <c r="D128" s="2779"/>
      <c r="E128" s="343"/>
    </row>
    <row r="130" spans="1:6">
      <c r="A130" s="347"/>
      <c r="B130" s="2771" t="s">
        <v>2546</v>
      </c>
      <c r="C130" s="2772"/>
      <c r="D130" s="2772"/>
      <c r="E130" s="2773"/>
    </row>
    <row r="131" spans="1:6">
      <c r="A131" s="348" t="s">
        <v>2062</v>
      </c>
      <c r="B131" s="2793">
        <v>13</v>
      </c>
      <c r="C131" s="2794"/>
      <c r="D131" s="2794"/>
      <c r="E131" s="2795"/>
    </row>
    <row r="132" spans="1:6">
      <c r="A132" s="349" t="s">
        <v>2063</v>
      </c>
      <c r="B132" s="2774">
        <v>3</v>
      </c>
      <c r="C132" s="2775"/>
      <c r="D132" s="2775"/>
      <c r="E132" s="2776"/>
    </row>
    <row r="134" spans="1:6" ht="13.5" thickBot="1"/>
    <row r="135" spans="1:6" ht="15" customHeight="1" thickBot="1">
      <c r="A135" s="2767" t="s">
        <v>352</v>
      </c>
      <c r="B135" s="2767"/>
      <c r="C135" s="2767"/>
      <c r="D135" s="2767"/>
      <c r="E135" s="2767"/>
      <c r="F135" s="2767"/>
    </row>
    <row r="137" spans="1:6">
      <c r="A137" s="2780" t="s">
        <v>2106</v>
      </c>
      <c r="B137" s="2781"/>
      <c r="C137" s="2781"/>
      <c r="D137" s="2781"/>
      <c r="E137" s="2781"/>
    </row>
    <row r="138" spans="1:6">
      <c r="A138" s="2777" t="s">
        <v>536</v>
      </c>
      <c r="B138" s="2778"/>
      <c r="C138" s="2778"/>
      <c r="D138" s="2779"/>
    </row>
    <row r="140" spans="1:6">
      <c r="A140" s="859" t="s">
        <v>604</v>
      </c>
      <c r="B140" s="2768" t="s">
        <v>2546</v>
      </c>
      <c r="C140" s="2769"/>
      <c r="D140" s="2769"/>
      <c r="E140" s="2770"/>
    </row>
    <row r="141" spans="1:6">
      <c r="A141" s="860" t="s">
        <v>2064</v>
      </c>
      <c r="B141" s="2764">
        <v>281</v>
      </c>
      <c r="C141" s="2765"/>
      <c r="D141" s="2765"/>
      <c r="E141" s="2766"/>
    </row>
    <row r="142" spans="1:6" ht="13.5" thickBot="1"/>
    <row r="143" spans="1:6" ht="15" customHeight="1" thickBot="1">
      <c r="A143" s="2767" t="s">
        <v>1873</v>
      </c>
      <c r="B143" s="2767"/>
      <c r="C143" s="2767"/>
      <c r="D143" s="2767"/>
      <c r="E143" s="2767"/>
      <c r="F143" s="2767"/>
    </row>
    <row r="145" spans="1:6" ht="21.75" customHeight="1">
      <c r="A145" s="2762" t="s">
        <v>1875</v>
      </c>
      <c r="B145" s="2763"/>
      <c r="C145" s="2763"/>
      <c r="D145" s="2763"/>
      <c r="E145" s="2763"/>
      <c r="F145" s="646" t="s">
        <v>1124</v>
      </c>
    </row>
  </sheetData>
  <sheetProtection algorithmName="SHA-512" hashValue="F/ITJUdyQlduLQfM9SwUEdIWHmoLgvZA5wxdrZcYaws532SlPhwCTxr8jgZKb3n1+8CzzVDW0xHGuxxs50fOBw==" saltValue="oWXxm7/jk87TJmKGI59aQg==" spinCount="100000" sheet="1" objects="1" scenarios="1"/>
  <mergeCells count="51">
    <mergeCell ref="A121:C121"/>
    <mergeCell ref="A119:C119"/>
    <mergeCell ref="A120:C120"/>
    <mergeCell ref="A114:F114"/>
    <mergeCell ref="B16:C16"/>
    <mergeCell ref="A109:F109"/>
    <mergeCell ref="A111:F111"/>
    <mergeCell ref="F64:G64"/>
    <mergeCell ref="F65:G65"/>
    <mergeCell ref="A14:E14"/>
    <mergeCell ref="A135:F135"/>
    <mergeCell ref="B131:E131"/>
    <mergeCell ref="A16:A18"/>
    <mergeCell ref="F16:G16"/>
    <mergeCell ref="B17:C17"/>
    <mergeCell ref="D17:E17"/>
    <mergeCell ref="D65:E65"/>
    <mergeCell ref="D64:E64"/>
    <mergeCell ref="B64:C64"/>
    <mergeCell ref="B65:C65"/>
    <mergeCell ref="A113:F113"/>
    <mergeCell ref="A112:F112"/>
    <mergeCell ref="D117:E117"/>
    <mergeCell ref="A122:C122"/>
    <mergeCell ref="A64:A66"/>
    <mergeCell ref="B1:E1"/>
    <mergeCell ref="A6:K6"/>
    <mergeCell ref="A62:E62"/>
    <mergeCell ref="A5:K5"/>
    <mergeCell ref="A8:H8"/>
    <mergeCell ref="F17:G17"/>
    <mergeCell ref="H16:I16"/>
    <mergeCell ref="J16:K16"/>
    <mergeCell ref="J17:K17"/>
    <mergeCell ref="H17:I17"/>
    <mergeCell ref="A3:M3"/>
    <mergeCell ref="A10:M11"/>
    <mergeCell ref="L16:M16"/>
    <mergeCell ref="L17:M17"/>
    <mergeCell ref="A13:E13"/>
    <mergeCell ref="D16:E16"/>
    <mergeCell ref="A145:E145"/>
    <mergeCell ref="B141:E141"/>
    <mergeCell ref="A125:F125"/>
    <mergeCell ref="B140:E140"/>
    <mergeCell ref="B130:E130"/>
    <mergeCell ref="A143:F143"/>
    <mergeCell ref="B132:E132"/>
    <mergeCell ref="A128:D128"/>
    <mergeCell ref="A138:D138"/>
    <mergeCell ref="A137:E137"/>
  </mergeCells>
  <dataValidations count="4">
    <dataValidation type="list" allowBlank="1" showInputMessage="1" showErrorMessage="1" errorTitle="Erreur de saisie" error="Vous devez saisir une valeur dans la liste" sqref="A128:D128">
      <formula1>lstChomageTitulaire</formula1>
    </dataValidation>
    <dataValidation type="list" allowBlank="1" showInputMessage="1" showErrorMessage="1" errorTitle="Erreur de saisie" error="Vous devez saisir une valeur dans la liste" sqref="A138:D138">
      <formula1>lstChomageContractuel</formula1>
    </dataValidation>
    <dataValidation type="list" allowBlank="1" showInputMessage="1" showErrorMessage="1" errorTitle="Erreur de saisie" error="Vous devez saisir une valeur dans la liste" sqref="F13:F14 F62 F145">
      <formula1>lstReponse</formula1>
    </dataValidation>
    <dataValidation type="whole" allowBlank="1" showInputMessage="1" showErrorMessage="1" errorTitle="Erreur de saisie" error="Vous devez saisir une valeur entière" sqref="B20:M22 B24:M26 B28:M30 B32:M34 B36:M38 B40:M42 B44:M46 B48:M50 B52:M54 B141:E141 B68:G70 B72:G74 B76:G78 B80:G82 B84:G86 B88:G90 B92:G94 B96:G98 B100:G102 B56:M57 D119:E121 B131:E132 B104:G105">
      <formula1>0</formula1>
      <formula2>999999999999</formula2>
    </dataValidation>
  </dataValidations>
  <hyperlinks>
    <hyperlink ref="B1:E1" location="Sommaire!A1" display="Retour Sommaire"/>
  </hyperlinks>
  <printOptions horizontalCentered="1"/>
  <pageMargins left="0.59055118110236227" right="0.59055118110236227" top="0.59055118110236227" bottom="0.59055118110236227" header="0.51181102362204722" footer="0.27559055118110237"/>
  <pageSetup paperSize="9" scale="35" orientation="portrait" r:id="rId1"/>
  <headerFooter alignWithMargins="0">
    <oddFooter>&amp;LRSU 2020 - Présentation au CTP&amp;R&amp;P/&amp;N
&amp;A</oddFooter>
  </headerFooter>
  <rowBreaks count="2" manualBreakCount="2">
    <brk id="46" max="16383" man="1"/>
    <brk id="61" max="16383" man="1"/>
  </rowBreaks>
</worksheet>
</file>

<file path=xl/worksheets/sheet64.xml><?xml version="1.0" encoding="utf-8"?>
<worksheet xmlns="http://schemas.openxmlformats.org/spreadsheetml/2006/main" xmlns:r="http://schemas.openxmlformats.org/officeDocument/2006/relationships">
  <sheetPr codeName="Feuil56">
    <pageSetUpPr fitToPage="1"/>
  </sheetPr>
  <dimension ref="A1:N93"/>
  <sheetViews>
    <sheetView showGridLines="0" zoomScaleNormal="100" workbookViewId="0">
      <pane ySplit="19" topLeftCell="A44" activePane="bottomLeft" state="frozen"/>
      <selection activeCell="H29" sqref="H29:AB29"/>
      <selection pane="bottomLeft"/>
    </sheetView>
  </sheetViews>
  <sheetFormatPr baseColWidth="10" defaultColWidth="16.28515625" defaultRowHeight="12.75" customHeight="1"/>
  <cols>
    <col min="1" max="1" width="82" customWidth="1"/>
    <col min="2" max="3" width="12.42578125" customWidth="1"/>
    <col min="4" max="13" width="11.42578125" customWidth="1"/>
  </cols>
  <sheetData>
    <row r="1" spans="1:13" ht="17.100000000000001" customHeight="1">
      <c r="B1" s="2245" t="s">
        <v>958</v>
      </c>
      <c r="C1" s="2245"/>
    </row>
    <row r="2" spans="1:13" ht="13.5" thickBot="1"/>
    <row r="3" spans="1:13" ht="27" customHeight="1" thickBot="1">
      <c r="A3" s="2541" t="s">
        <v>2423</v>
      </c>
      <c r="B3" s="2541"/>
      <c r="C3" s="2810"/>
      <c r="D3" s="2810"/>
      <c r="E3" s="2810"/>
      <c r="F3" s="2811"/>
      <c r="G3" s="2811"/>
      <c r="H3" s="2811"/>
      <c r="I3" s="2811"/>
      <c r="J3" s="2811"/>
      <c r="K3" s="2811"/>
      <c r="L3" s="2811"/>
      <c r="M3" s="2811"/>
    </row>
    <row r="4" spans="1:13" ht="4.5" customHeight="1"/>
    <row r="5" spans="1:13" ht="6" customHeight="1"/>
    <row r="6" spans="1:13" ht="13.5" customHeight="1">
      <c r="A6" s="1056" t="s">
        <v>2424</v>
      </c>
      <c r="B6" s="634" t="s">
        <v>1124</v>
      </c>
    </row>
    <row r="7" spans="1:13" ht="13.5" customHeight="1"/>
    <row r="8" spans="1:13" ht="13.5" customHeight="1">
      <c r="A8" s="147" t="s">
        <v>578</v>
      </c>
    </row>
    <row r="9" spans="1:13" ht="13.5" customHeight="1"/>
    <row r="10" spans="1:13" ht="12.75" customHeight="1">
      <c r="A10" s="2326" t="s">
        <v>2547</v>
      </c>
      <c r="B10" s="2818"/>
      <c r="C10" s="2379"/>
      <c r="D10" s="2379"/>
      <c r="E10" s="2379"/>
    </row>
    <row r="11" spans="1:13">
      <c r="A11" s="291" t="s">
        <v>576</v>
      </c>
    </row>
    <row r="12" spans="1:13">
      <c r="A12" s="291" t="s">
        <v>577</v>
      </c>
    </row>
    <row r="14" spans="1:13">
      <c r="A14" s="2423" t="s">
        <v>2107</v>
      </c>
      <c r="B14" s="2423"/>
      <c r="C14" s="2423"/>
      <c r="D14" s="2423"/>
      <c r="E14" s="2423"/>
    </row>
    <row r="16" spans="1:13" ht="15" customHeight="1">
      <c r="B16" s="2820" t="s">
        <v>1513</v>
      </c>
      <c r="C16" s="2498"/>
      <c r="D16" s="2498"/>
      <c r="E16" s="2498"/>
      <c r="F16" s="2498"/>
      <c r="G16" s="2706"/>
      <c r="H16" s="2815" t="s">
        <v>1136</v>
      </c>
      <c r="I16" s="2816"/>
      <c r="J16" s="2816"/>
      <c r="K16" s="2816"/>
      <c r="L16" s="2816"/>
      <c r="M16" s="2817"/>
    </row>
    <row r="17" spans="1:14">
      <c r="B17" s="2814" t="s">
        <v>661</v>
      </c>
      <c r="C17" s="2493"/>
      <c r="D17" s="2814" t="s">
        <v>662</v>
      </c>
      <c r="E17" s="2498"/>
      <c r="F17" s="2498"/>
      <c r="G17" s="2706"/>
      <c r="H17" s="2814" t="s">
        <v>661</v>
      </c>
      <c r="I17" s="2493"/>
      <c r="J17" s="2814" t="s">
        <v>662</v>
      </c>
      <c r="K17" s="2498"/>
      <c r="L17" s="2498"/>
      <c r="M17" s="2706"/>
    </row>
    <row r="18" spans="1:14" ht="55.5" customHeight="1">
      <c r="A18" s="2812" t="s">
        <v>393</v>
      </c>
      <c r="B18" s="2487" t="s">
        <v>2425</v>
      </c>
      <c r="C18" s="2819"/>
      <c r="D18" s="2487" t="s">
        <v>2426</v>
      </c>
      <c r="E18" s="2819"/>
      <c r="F18" s="2487" t="s">
        <v>2425</v>
      </c>
      <c r="G18" s="2819"/>
      <c r="H18" s="2487" t="s">
        <v>2425</v>
      </c>
      <c r="I18" s="2819"/>
      <c r="J18" s="2487" t="s">
        <v>2426</v>
      </c>
      <c r="K18" s="2819"/>
      <c r="L18" s="2487" t="s">
        <v>2425</v>
      </c>
      <c r="M18" s="2819"/>
    </row>
    <row r="19" spans="1:14" ht="13.5" customHeight="1">
      <c r="A19" s="2813"/>
      <c r="B19" s="195" t="s">
        <v>707</v>
      </c>
      <c r="C19" s="551" t="s">
        <v>708</v>
      </c>
      <c r="D19" s="195" t="s">
        <v>707</v>
      </c>
      <c r="E19" s="551" t="s">
        <v>708</v>
      </c>
      <c r="F19" s="195" t="s">
        <v>707</v>
      </c>
      <c r="G19" s="551" t="s">
        <v>708</v>
      </c>
      <c r="H19" s="551" t="s">
        <v>707</v>
      </c>
      <c r="I19" s="551" t="s">
        <v>708</v>
      </c>
      <c r="J19" s="195" t="s">
        <v>707</v>
      </c>
      <c r="K19" s="551" t="s">
        <v>708</v>
      </c>
      <c r="L19" s="195" t="s">
        <v>707</v>
      </c>
      <c r="M19" s="551" t="s">
        <v>708</v>
      </c>
      <c r="N19" s="1235" t="s">
        <v>1994</v>
      </c>
    </row>
    <row r="20" spans="1:14" ht="18.95" customHeight="1">
      <c r="A20" s="370" t="s">
        <v>1924</v>
      </c>
      <c r="B20" s="1057">
        <v>0</v>
      </c>
      <c r="C20" s="1058">
        <v>13</v>
      </c>
      <c r="D20" s="1057">
        <v>0</v>
      </c>
      <c r="E20" s="1058">
        <v>0</v>
      </c>
      <c r="F20" s="1057">
        <v>0</v>
      </c>
      <c r="G20" s="1057">
        <v>0</v>
      </c>
      <c r="H20" s="1057">
        <v>0</v>
      </c>
      <c r="I20" s="1057">
        <v>0</v>
      </c>
      <c r="J20" s="1057">
        <v>0</v>
      </c>
      <c r="K20" s="1058">
        <v>0</v>
      </c>
      <c r="L20" s="1057">
        <v>0</v>
      </c>
      <c r="M20" s="1057">
        <v>0</v>
      </c>
      <c r="N20" s="1235" t="s">
        <v>1925</v>
      </c>
    </row>
    <row r="21" spans="1:14" ht="18.95" customHeight="1">
      <c r="A21" s="371" t="s">
        <v>1934</v>
      </c>
      <c r="B21" s="1057">
        <v>169</v>
      </c>
      <c r="C21" s="1058">
        <v>43</v>
      </c>
      <c r="D21" s="1057">
        <v>0</v>
      </c>
      <c r="E21" s="1058">
        <v>0</v>
      </c>
      <c r="F21" s="1057">
        <v>0</v>
      </c>
      <c r="G21" s="1057">
        <v>0</v>
      </c>
      <c r="H21" s="1057">
        <v>0</v>
      </c>
      <c r="I21" s="1057">
        <v>0</v>
      </c>
      <c r="J21" s="1057">
        <v>0</v>
      </c>
      <c r="K21" s="1058">
        <v>0</v>
      </c>
      <c r="L21" s="1057">
        <v>0</v>
      </c>
      <c r="M21" s="1057">
        <v>0</v>
      </c>
      <c r="N21" s="1235" t="s">
        <v>1935</v>
      </c>
    </row>
    <row r="22" spans="1:14" ht="18.95" customHeight="1">
      <c r="A22" s="372" t="s">
        <v>1938</v>
      </c>
      <c r="B22" s="1057"/>
      <c r="C22" s="1058"/>
      <c r="D22" s="1057"/>
      <c r="E22" s="1058"/>
      <c r="F22" s="1057"/>
      <c r="G22" s="1057"/>
      <c r="H22" s="1057"/>
      <c r="I22" s="1057"/>
      <c r="J22" s="1057"/>
      <c r="K22" s="1058"/>
      <c r="L22" s="1057"/>
      <c r="M22" s="1057"/>
      <c r="N22" s="1235" t="s">
        <v>1939</v>
      </c>
    </row>
    <row r="23" spans="1:14" ht="18.95" customHeight="1">
      <c r="A23" s="371" t="s">
        <v>999</v>
      </c>
      <c r="B23" s="1057">
        <v>601.75</v>
      </c>
      <c r="C23" s="1058">
        <v>1047.25</v>
      </c>
      <c r="D23" s="1057">
        <v>0</v>
      </c>
      <c r="E23" s="1058">
        <v>84</v>
      </c>
      <c r="F23" s="1057">
        <v>0</v>
      </c>
      <c r="G23" s="1057">
        <v>0</v>
      </c>
      <c r="H23" s="1057">
        <v>16</v>
      </c>
      <c r="I23" s="1057">
        <v>16</v>
      </c>
      <c r="J23" s="1057">
        <v>0</v>
      </c>
      <c r="K23" s="1058">
        <v>0</v>
      </c>
      <c r="L23" s="1057">
        <v>0</v>
      </c>
      <c r="M23" s="1057">
        <v>0</v>
      </c>
      <c r="N23" s="1235" t="s">
        <v>1000</v>
      </c>
    </row>
    <row r="24" spans="1:14" ht="18.95" customHeight="1">
      <c r="A24" s="371" t="s">
        <v>1850</v>
      </c>
      <c r="B24" s="1057">
        <v>3720.25</v>
      </c>
      <c r="C24" s="1058">
        <v>7515.39</v>
      </c>
      <c r="D24" s="1057">
        <v>0</v>
      </c>
      <c r="E24" s="1058">
        <v>3640.75</v>
      </c>
      <c r="F24" s="1057">
        <v>0</v>
      </c>
      <c r="G24" s="1057">
        <v>0</v>
      </c>
      <c r="H24" s="1057">
        <v>2863.5</v>
      </c>
      <c r="I24" s="1057">
        <v>2522.75</v>
      </c>
      <c r="J24" s="1057">
        <v>0</v>
      </c>
      <c r="K24" s="1058">
        <v>493.5</v>
      </c>
      <c r="L24" s="1057">
        <v>0</v>
      </c>
      <c r="M24" s="1057">
        <v>0</v>
      </c>
      <c r="N24" s="1235" t="s">
        <v>1851</v>
      </c>
    </row>
    <row r="25" spans="1:14" ht="18.95" customHeight="1">
      <c r="A25" s="519" t="s">
        <v>1915</v>
      </c>
      <c r="B25" s="667">
        <f t="shared" ref="B25:G25" si="0">SUM(B20:B24)</f>
        <v>4491</v>
      </c>
      <c r="C25" s="667">
        <f t="shared" si="0"/>
        <v>8618.64</v>
      </c>
      <c r="D25" s="667">
        <f t="shared" si="0"/>
        <v>0</v>
      </c>
      <c r="E25" s="667">
        <f t="shared" si="0"/>
        <v>3724.75</v>
      </c>
      <c r="F25" s="667">
        <f t="shared" si="0"/>
        <v>0</v>
      </c>
      <c r="G25" s="667">
        <f t="shared" si="0"/>
        <v>0</v>
      </c>
      <c r="H25" s="667">
        <f t="shared" ref="H25:M25" si="1">SUM(H20:H24)</f>
        <v>2879.5</v>
      </c>
      <c r="I25" s="667">
        <f t="shared" si="1"/>
        <v>2538.75</v>
      </c>
      <c r="J25" s="667">
        <f t="shared" si="1"/>
        <v>0</v>
      </c>
      <c r="K25" s="667">
        <f t="shared" si="1"/>
        <v>493.5</v>
      </c>
      <c r="L25" s="667">
        <f t="shared" si="1"/>
        <v>0</v>
      </c>
      <c r="M25" s="667">
        <f t="shared" si="1"/>
        <v>0</v>
      </c>
      <c r="N25" s="1235" t="s">
        <v>1852</v>
      </c>
    </row>
    <row r="26" spans="1:14" ht="18.95" customHeight="1">
      <c r="A26" s="372" t="s">
        <v>1094</v>
      </c>
      <c r="B26" s="1057"/>
      <c r="C26" s="1058"/>
      <c r="D26" s="1057"/>
      <c r="E26" s="1058"/>
      <c r="F26" s="1057"/>
      <c r="G26" s="1057"/>
      <c r="H26" s="1057"/>
      <c r="I26" s="1057"/>
      <c r="J26" s="1057"/>
      <c r="K26" s="1058"/>
      <c r="L26" s="1057"/>
      <c r="M26" s="1057"/>
      <c r="N26" s="1235" t="s">
        <v>1248</v>
      </c>
    </row>
    <row r="27" spans="1:14" ht="18.95" customHeight="1">
      <c r="A27" s="372" t="s">
        <v>678</v>
      </c>
      <c r="B27" s="1057"/>
      <c r="C27" s="1058"/>
      <c r="D27" s="1057"/>
      <c r="E27" s="1058"/>
      <c r="F27" s="1057"/>
      <c r="G27" s="1057"/>
      <c r="H27" s="1057"/>
      <c r="I27" s="1057"/>
      <c r="J27" s="1057"/>
      <c r="K27" s="1058"/>
      <c r="L27" s="1057"/>
      <c r="M27" s="1057"/>
      <c r="N27" s="1235" t="s">
        <v>1775</v>
      </c>
    </row>
    <row r="28" spans="1:14" ht="18.95" customHeight="1">
      <c r="A28" s="372" t="s">
        <v>394</v>
      </c>
      <c r="B28" s="1057">
        <v>875.5</v>
      </c>
      <c r="C28" s="1058">
        <v>0</v>
      </c>
      <c r="D28" s="1057">
        <v>0</v>
      </c>
      <c r="E28" s="1058">
        <v>0</v>
      </c>
      <c r="F28" s="1057">
        <v>0</v>
      </c>
      <c r="G28" s="1057">
        <v>0</v>
      </c>
      <c r="H28" s="1057">
        <v>0</v>
      </c>
      <c r="I28" s="1057">
        <v>426</v>
      </c>
      <c r="J28" s="1057">
        <v>0</v>
      </c>
      <c r="K28" s="1058">
        <v>0</v>
      </c>
      <c r="L28" s="1057">
        <v>0</v>
      </c>
      <c r="M28" s="1057">
        <v>0</v>
      </c>
      <c r="N28" s="1235" t="s">
        <v>2200</v>
      </c>
    </row>
    <row r="29" spans="1:14" ht="18.95" customHeight="1">
      <c r="A29" s="372" t="s">
        <v>2207</v>
      </c>
      <c r="B29" s="1057">
        <v>10927.95</v>
      </c>
      <c r="C29" s="1058">
        <v>718.7</v>
      </c>
      <c r="D29" s="1057">
        <v>0</v>
      </c>
      <c r="E29" s="1058">
        <v>319.25</v>
      </c>
      <c r="F29" s="1057">
        <v>0</v>
      </c>
      <c r="G29" s="1057">
        <v>0</v>
      </c>
      <c r="H29" s="1057">
        <v>62</v>
      </c>
      <c r="I29" s="1057">
        <v>0</v>
      </c>
      <c r="J29" s="1057">
        <v>0</v>
      </c>
      <c r="K29" s="1058">
        <v>0</v>
      </c>
      <c r="L29" s="1057">
        <v>0</v>
      </c>
      <c r="M29" s="1057">
        <v>0</v>
      </c>
      <c r="N29" s="1235" t="s">
        <v>2208</v>
      </c>
    </row>
    <row r="30" spans="1:14" ht="18.95" customHeight="1">
      <c r="A30" s="373" t="s">
        <v>1241</v>
      </c>
      <c r="B30" s="1057">
        <v>13233.25</v>
      </c>
      <c r="C30" s="1058">
        <v>2679.21</v>
      </c>
      <c r="D30" s="1057">
        <v>1063.5</v>
      </c>
      <c r="E30" s="1058">
        <v>83729.5</v>
      </c>
      <c r="F30" s="1057">
        <v>0</v>
      </c>
      <c r="G30" s="1057">
        <v>0</v>
      </c>
      <c r="H30" s="1057">
        <v>1498.25</v>
      </c>
      <c r="I30" s="1057">
        <v>145</v>
      </c>
      <c r="J30" s="1057">
        <v>60</v>
      </c>
      <c r="K30" s="1058">
        <v>7063.18</v>
      </c>
      <c r="L30" s="1057">
        <v>0</v>
      </c>
      <c r="M30" s="1057">
        <v>0</v>
      </c>
      <c r="N30" s="1235" t="s">
        <v>1242</v>
      </c>
    </row>
    <row r="31" spans="1:14" ht="18.95" customHeight="1">
      <c r="A31" s="374" t="s">
        <v>1247</v>
      </c>
      <c r="B31" s="1057"/>
      <c r="C31" s="1058"/>
      <c r="D31" s="1057"/>
      <c r="E31" s="1058"/>
      <c r="F31" s="1057"/>
      <c r="G31" s="1057"/>
      <c r="H31" s="1057"/>
      <c r="I31" s="1057"/>
      <c r="J31" s="1057"/>
      <c r="K31" s="1058"/>
      <c r="L31" s="1057"/>
      <c r="M31" s="1057"/>
      <c r="N31" s="1235" t="s">
        <v>1779</v>
      </c>
    </row>
    <row r="32" spans="1:14" ht="18.95" customHeight="1">
      <c r="A32" s="520" t="s">
        <v>673</v>
      </c>
      <c r="B32" s="668">
        <f t="shared" ref="B32:G32" si="2">SUM(B26:B31)</f>
        <v>25036.7</v>
      </c>
      <c r="C32" s="668">
        <f t="shared" si="2"/>
        <v>3397.91</v>
      </c>
      <c r="D32" s="668">
        <f t="shared" si="2"/>
        <v>1063.5</v>
      </c>
      <c r="E32" s="668">
        <f t="shared" si="2"/>
        <v>84048.75</v>
      </c>
      <c r="F32" s="668">
        <f t="shared" si="2"/>
        <v>0</v>
      </c>
      <c r="G32" s="668">
        <f t="shared" si="2"/>
        <v>0</v>
      </c>
      <c r="H32" s="668">
        <f t="shared" ref="H32:M32" si="3">SUM(H26:H31)</f>
        <v>1560.25</v>
      </c>
      <c r="I32" s="668">
        <f t="shared" si="3"/>
        <v>571</v>
      </c>
      <c r="J32" s="668">
        <f t="shared" si="3"/>
        <v>60</v>
      </c>
      <c r="K32" s="668">
        <f t="shared" si="3"/>
        <v>7063.18</v>
      </c>
      <c r="L32" s="668">
        <f t="shared" si="3"/>
        <v>0</v>
      </c>
      <c r="M32" s="668">
        <f t="shared" si="3"/>
        <v>0</v>
      </c>
      <c r="N32" s="1235" t="s">
        <v>1249</v>
      </c>
    </row>
    <row r="33" spans="1:14" ht="18.95" customHeight="1">
      <c r="A33" s="372" t="s">
        <v>1257</v>
      </c>
      <c r="B33" s="1057"/>
      <c r="C33" s="1058"/>
      <c r="D33" s="1057"/>
      <c r="E33" s="1058"/>
      <c r="F33" s="1057"/>
      <c r="G33" s="1057"/>
      <c r="H33" s="1057"/>
      <c r="I33" s="1057"/>
      <c r="J33" s="1057"/>
      <c r="K33" s="1058"/>
      <c r="L33" s="1057"/>
      <c r="M33" s="1057"/>
      <c r="N33" s="1235" t="s">
        <v>1258</v>
      </c>
    </row>
    <row r="34" spans="1:14" ht="18.95" customHeight="1">
      <c r="A34" s="374" t="s">
        <v>1262</v>
      </c>
      <c r="B34" s="1057"/>
      <c r="C34" s="1058"/>
      <c r="D34" s="1057"/>
      <c r="E34" s="1058"/>
      <c r="F34" s="1057"/>
      <c r="G34" s="1057"/>
      <c r="H34" s="1057"/>
      <c r="I34" s="1057"/>
      <c r="J34" s="1057"/>
      <c r="K34" s="1058"/>
      <c r="L34" s="1057"/>
      <c r="M34" s="1057"/>
      <c r="N34" s="1235" t="s">
        <v>1263</v>
      </c>
    </row>
    <row r="35" spans="1:14" ht="18.95" customHeight="1">
      <c r="A35" s="374" t="s">
        <v>395</v>
      </c>
      <c r="B35" s="1057"/>
      <c r="C35" s="1058"/>
      <c r="D35" s="1057"/>
      <c r="E35" s="1058"/>
      <c r="F35" s="1057"/>
      <c r="G35" s="1057"/>
      <c r="H35" s="1057"/>
      <c r="I35" s="1057"/>
      <c r="J35" s="1057"/>
      <c r="K35" s="1058"/>
      <c r="L35" s="1057"/>
      <c r="M35" s="1057"/>
      <c r="N35" s="1235" t="s">
        <v>965</v>
      </c>
    </row>
    <row r="36" spans="1:14" ht="18.95" customHeight="1">
      <c r="A36" s="372" t="s">
        <v>970</v>
      </c>
      <c r="B36" s="1057">
        <v>10</v>
      </c>
      <c r="C36" s="1058">
        <v>15</v>
      </c>
      <c r="D36" s="1057">
        <v>0</v>
      </c>
      <c r="E36" s="1058">
        <v>0</v>
      </c>
      <c r="F36" s="1057">
        <v>0</v>
      </c>
      <c r="G36" s="1057">
        <v>0</v>
      </c>
      <c r="H36" s="1057">
        <v>0</v>
      </c>
      <c r="I36" s="1057">
        <v>0</v>
      </c>
      <c r="J36" s="1057">
        <v>0</v>
      </c>
      <c r="K36" s="1058">
        <v>0</v>
      </c>
      <c r="L36" s="1057">
        <v>0</v>
      </c>
      <c r="M36" s="1057">
        <v>0</v>
      </c>
      <c r="N36" s="1235" t="s">
        <v>971</v>
      </c>
    </row>
    <row r="37" spans="1:14" ht="18.95" customHeight="1">
      <c r="A37" s="375" t="s">
        <v>396</v>
      </c>
      <c r="B37" s="1057"/>
      <c r="C37" s="1058"/>
      <c r="D37" s="1057"/>
      <c r="E37" s="1058"/>
      <c r="F37" s="1057"/>
      <c r="G37" s="1057"/>
      <c r="H37" s="1057"/>
      <c r="I37" s="1057"/>
      <c r="J37" s="1057"/>
      <c r="K37" s="1058"/>
      <c r="L37" s="1057"/>
      <c r="M37" s="1057"/>
      <c r="N37" s="1235" t="s">
        <v>1495</v>
      </c>
    </row>
    <row r="38" spans="1:14" ht="18.95" customHeight="1">
      <c r="A38" s="375" t="s">
        <v>722</v>
      </c>
      <c r="B38" s="1057">
        <v>38</v>
      </c>
      <c r="C38" s="1058">
        <v>43.5</v>
      </c>
      <c r="D38" s="1057">
        <v>0</v>
      </c>
      <c r="E38" s="1058">
        <v>0</v>
      </c>
      <c r="F38" s="1057">
        <v>0</v>
      </c>
      <c r="G38" s="1057">
        <v>0</v>
      </c>
      <c r="H38" s="1057">
        <v>48.5</v>
      </c>
      <c r="I38" s="1057">
        <v>0</v>
      </c>
      <c r="J38" s="1057">
        <v>0</v>
      </c>
      <c r="K38" s="1058">
        <v>0</v>
      </c>
      <c r="L38" s="1057">
        <v>0</v>
      </c>
      <c r="M38" s="1057">
        <v>0</v>
      </c>
      <c r="N38" s="1235" t="s">
        <v>425</v>
      </c>
    </row>
    <row r="39" spans="1:14" ht="18.95" customHeight="1">
      <c r="A39" s="374" t="s">
        <v>397</v>
      </c>
      <c r="B39" s="1057">
        <v>60</v>
      </c>
      <c r="C39" s="1058">
        <v>183.5</v>
      </c>
      <c r="D39" s="1057">
        <v>0</v>
      </c>
      <c r="E39" s="1058">
        <v>0</v>
      </c>
      <c r="F39" s="1057">
        <v>0</v>
      </c>
      <c r="G39" s="1057">
        <v>0</v>
      </c>
      <c r="H39" s="1057">
        <v>0</v>
      </c>
      <c r="I39" s="1057">
        <v>0</v>
      </c>
      <c r="J39" s="1057">
        <v>0</v>
      </c>
      <c r="K39" s="1058">
        <v>0</v>
      </c>
      <c r="L39" s="1057">
        <v>0</v>
      </c>
      <c r="M39" s="1057">
        <v>0</v>
      </c>
      <c r="N39" s="1235" t="s">
        <v>71</v>
      </c>
    </row>
    <row r="40" spans="1:14" ht="18.95" customHeight="1">
      <c r="A40" s="374" t="s">
        <v>365</v>
      </c>
      <c r="B40" s="1057">
        <v>17</v>
      </c>
      <c r="C40" s="1058">
        <v>15</v>
      </c>
      <c r="D40" s="1057">
        <v>0</v>
      </c>
      <c r="E40" s="1058">
        <v>0</v>
      </c>
      <c r="F40" s="1057">
        <v>0</v>
      </c>
      <c r="G40" s="1057">
        <v>0</v>
      </c>
      <c r="H40" s="1057">
        <v>34.75</v>
      </c>
      <c r="I40" s="1057">
        <v>0</v>
      </c>
      <c r="J40" s="1057">
        <v>0</v>
      </c>
      <c r="K40" s="1058">
        <v>0</v>
      </c>
      <c r="L40" s="1057">
        <v>0</v>
      </c>
      <c r="M40" s="1057">
        <v>0</v>
      </c>
      <c r="N40" s="1235" t="s">
        <v>366</v>
      </c>
    </row>
    <row r="41" spans="1:14" ht="18.95" customHeight="1">
      <c r="A41" s="374" t="s">
        <v>373</v>
      </c>
      <c r="B41" s="1057">
        <v>110</v>
      </c>
      <c r="C41" s="1058">
        <v>505.3</v>
      </c>
      <c r="D41" s="1057">
        <v>0</v>
      </c>
      <c r="E41" s="1058">
        <v>0</v>
      </c>
      <c r="F41" s="1057">
        <v>0</v>
      </c>
      <c r="G41" s="1057">
        <v>0</v>
      </c>
      <c r="H41" s="1057">
        <v>0</v>
      </c>
      <c r="I41" s="1057">
        <v>0</v>
      </c>
      <c r="J41" s="1057">
        <v>0</v>
      </c>
      <c r="K41" s="1058">
        <v>0</v>
      </c>
      <c r="L41" s="1057">
        <v>0</v>
      </c>
      <c r="M41" s="1057">
        <v>0</v>
      </c>
      <c r="N41" s="1235" t="s">
        <v>374</v>
      </c>
    </row>
    <row r="42" spans="1:14" ht="18.95" customHeight="1">
      <c r="A42" s="521" t="s">
        <v>1250</v>
      </c>
      <c r="B42" s="667">
        <f t="shared" ref="B42:G42" si="4">SUM(B33:B41)</f>
        <v>235</v>
      </c>
      <c r="C42" s="667">
        <f t="shared" si="4"/>
        <v>762.3</v>
      </c>
      <c r="D42" s="667">
        <f t="shared" si="4"/>
        <v>0</v>
      </c>
      <c r="E42" s="667">
        <f t="shared" si="4"/>
        <v>0</v>
      </c>
      <c r="F42" s="667">
        <f t="shared" si="4"/>
        <v>0</v>
      </c>
      <c r="G42" s="667">
        <f t="shared" si="4"/>
        <v>0</v>
      </c>
      <c r="H42" s="667">
        <f t="shared" ref="H42:M42" si="5">SUM(H33:H41)</f>
        <v>83.25</v>
      </c>
      <c r="I42" s="667">
        <f t="shared" si="5"/>
        <v>0</v>
      </c>
      <c r="J42" s="667">
        <f t="shared" si="5"/>
        <v>0</v>
      </c>
      <c r="K42" s="667">
        <f t="shared" si="5"/>
        <v>0</v>
      </c>
      <c r="L42" s="667">
        <f t="shared" si="5"/>
        <v>0</v>
      </c>
      <c r="M42" s="667">
        <f t="shared" si="5"/>
        <v>0</v>
      </c>
      <c r="N42" s="1235" t="s">
        <v>375</v>
      </c>
    </row>
    <row r="43" spans="1:14" ht="18.95" customHeight="1">
      <c r="A43" s="376" t="s">
        <v>382</v>
      </c>
      <c r="B43" s="1057"/>
      <c r="C43" s="1058"/>
      <c r="D43" s="1057"/>
      <c r="E43" s="1058"/>
      <c r="F43" s="1057"/>
      <c r="G43" s="1057"/>
      <c r="H43" s="1057"/>
      <c r="I43" s="1057"/>
      <c r="J43" s="1057"/>
      <c r="K43" s="1058"/>
      <c r="L43" s="1057"/>
      <c r="M43" s="1057"/>
      <c r="N43" s="1235" t="s">
        <v>383</v>
      </c>
    </row>
    <row r="44" spans="1:14" ht="18.95" customHeight="1">
      <c r="A44" s="376" t="s">
        <v>1184</v>
      </c>
      <c r="B44" s="1057">
        <v>211.5</v>
      </c>
      <c r="C44" s="1058">
        <v>16.5</v>
      </c>
      <c r="D44" s="1057">
        <v>0</v>
      </c>
      <c r="E44" s="1058">
        <v>0</v>
      </c>
      <c r="F44" s="1057">
        <v>0</v>
      </c>
      <c r="G44" s="1057">
        <v>0</v>
      </c>
      <c r="H44" s="1057">
        <v>12</v>
      </c>
      <c r="I44" s="1057">
        <v>22</v>
      </c>
      <c r="J44" s="1057">
        <v>2</v>
      </c>
      <c r="K44" s="1058">
        <v>0</v>
      </c>
      <c r="L44" s="1057">
        <v>0</v>
      </c>
      <c r="M44" s="1057">
        <v>0</v>
      </c>
      <c r="N44" s="1235" t="s">
        <v>1185</v>
      </c>
    </row>
    <row r="45" spans="1:14" ht="18.95" customHeight="1">
      <c r="A45" s="376" t="s">
        <v>1192</v>
      </c>
      <c r="B45" s="1057"/>
      <c r="C45" s="1058"/>
      <c r="D45" s="1057"/>
      <c r="E45" s="1058"/>
      <c r="F45" s="1057"/>
      <c r="G45" s="1057"/>
      <c r="H45" s="1057"/>
      <c r="I45" s="1057"/>
      <c r="J45" s="1057"/>
      <c r="K45" s="1058"/>
      <c r="L45" s="1057"/>
      <c r="M45" s="1057"/>
      <c r="N45" s="1235" t="s">
        <v>1193</v>
      </c>
    </row>
    <row r="46" spans="1:14" ht="18.95" customHeight="1">
      <c r="A46" s="520" t="s">
        <v>376</v>
      </c>
      <c r="B46" s="668">
        <f t="shared" ref="B46:G46" si="6">SUM(B43:B45)</f>
        <v>211.5</v>
      </c>
      <c r="C46" s="668">
        <f t="shared" si="6"/>
        <v>16.5</v>
      </c>
      <c r="D46" s="668">
        <f t="shared" si="6"/>
        <v>0</v>
      </c>
      <c r="E46" s="668">
        <f t="shared" si="6"/>
        <v>0</v>
      </c>
      <c r="F46" s="668">
        <f t="shared" si="6"/>
        <v>0</v>
      </c>
      <c r="G46" s="668">
        <f t="shared" si="6"/>
        <v>0</v>
      </c>
      <c r="H46" s="668">
        <f t="shared" ref="H46:M46" si="7">SUM(H43:H45)</f>
        <v>12</v>
      </c>
      <c r="I46" s="668">
        <f t="shared" si="7"/>
        <v>22</v>
      </c>
      <c r="J46" s="668">
        <f t="shared" si="7"/>
        <v>2</v>
      </c>
      <c r="K46" s="668">
        <f t="shared" si="7"/>
        <v>0</v>
      </c>
      <c r="L46" s="668">
        <f t="shared" si="7"/>
        <v>0</v>
      </c>
      <c r="M46" s="668">
        <f t="shared" si="7"/>
        <v>0</v>
      </c>
      <c r="N46" s="1235" t="s">
        <v>1194</v>
      </c>
    </row>
    <row r="47" spans="1:14" ht="18.95" customHeight="1">
      <c r="A47" s="376" t="s">
        <v>1202</v>
      </c>
      <c r="B47" s="1057"/>
      <c r="C47" s="1058"/>
      <c r="D47" s="1057"/>
      <c r="E47" s="1058"/>
      <c r="F47" s="1057"/>
      <c r="G47" s="1057"/>
      <c r="H47" s="1057"/>
      <c r="I47" s="1057"/>
      <c r="J47" s="1057"/>
      <c r="K47" s="1058"/>
      <c r="L47" s="1057"/>
      <c r="M47" s="1057"/>
      <c r="N47" s="1235" t="s">
        <v>1203</v>
      </c>
    </row>
    <row r="48" spans="1:14" ht="18.95" customHeight="1">
      <c r="A48" s="376" t="s">
        <v>1204</v>
      </c>
      <c r="B48" s="1057">
        <v>0</v>
      </c>
      <c r="C48" s="1058">
        <v>23.5</v>
      </c>
      <c r="D48" s="1057">
        <v>0</v>
      </c>
      <c r="E48" s="1058">
        <v>0</v>
      </c>
      <c r="F48" s="1057">
        <v>0</v>
      </c>
      <c r="G48" s="1057">
        <v>0</v>
      </c>
      <c r="H48" s="1057">
        <v>0</v>
      </c>
      <c r="I48" s="1057">
        <v>0</v>
      </c>
      <c r="J48" s="1057">
        <v>0</v>
      </c>
      <c r="K48" s="1058">
        <v>0</v>
      </c>
      <c r="L48" s="1057">
        <v>0</v>
      </c>
      <c r="M48" s="1057">
        <v>0</v>
      </c>
      <c r="N48" s="1235" t="s">
        <v>1395</v>
      </c>
    </row>
    <row r="49" spans="1:14" ht="18.95" customHeight="1">
      <c r="A49" s="376" t="s">
        <v>1943</v>
      </c>
      <c r="B49" s="1057">
        <v>0</v>
      </c>
      <c r="C49" s="1058">
        <v>25</v>
      </c>
      <c r="D49" s="1057">
        <v>0</v>
      </c>
      <c r="E49" s="1058">
        <v>0</v>
      </c>
      <c r="F49" s="1057">
        <v>0</v>
      </c>
      <c r="G49" s="1057">
        <v>0</v>
      </c>
      <c r="H49" s="1057">
        <v>0</v>
      </c>
      <c r="I49" s="1057">
        <v>0</v>
      </c>
      <c r="J49" s="1057">
        <v>0</v>
      </c>
      <c r="K49" s="1058">
        <v>0</v>
      </c>
      <c r="L49" s="1057">
        <v>0</v>
      </c>
      <c r="M49" s="1057">
        <v>0</v>
      </c>
      <c r="N49" s="1235" t="s">
        <v>1396</v>
      </c>
    </row>
    <row r="50" spans="1:14" ht="18.95" customHeight="1">
      <c r="A50" s="376" t="s">
        <v>398</v>
      </c>
      <c r="B50" s="1057"/>
      <c r="C50" s="1058"/>
      <c r="D50" s="1057"/>
      <c r="E50" s="1058"/>
      <c r="F50" s="1057"/>
      <c r="G50" s="1057"/>
      <c r="H50" s="1057"/>
      <c r="I50" s="1057"/>
      <c r="J50" s="1057"/>
      <c r="K50" s="1058"/>
      <c r="L50" s="1057"/>
      <c r="M50" s="1057"/>
      <c r="N50" s="1235" t="s">
        <v>1344</v>
      </c>
    </row>
    <row r="51" spans="1:14" ht="18.95" customHeight="1">
      <c r="A51" s="185" t="s">
        <v>399</v>
      </c>
      <c r="B51" s="1057">
        <v>0</v>
      </c>
      <c r="C51" s="1058">
        <v>411</v>
      </c>
      <c r="D51" s="1057">
        <v>0</v>
      </c>
      <c r="E51" s="1058">
        <v>0</v>
      </c>
      <c r="F51" s="1057">
        <v>0</v>
      </c>
      <c r="G51" s="1057">
        <v>0</v>
      </c>
      <c r="H51" s="1057">
        <v>0</v>
      </c>
      <c r="I51" s="1057">
        <v>31</v>
      </c>
      <c r="J51" s="1057">
        <v>0</v>
      </c>
      <c r="K51" s="1058">
        <v>0</v>
      </c>
      <c r="L51" s="1057">
        <v>0</v>
      </c>
      <c r="M51" s="1057">
        <v>0</v>
      </c>
      <c r="N51" s="1235" t="s">
        <v>1350</v>
      </c>
    </row>
    <row r="52" spans="1:14" ht="18.95" customHeight="1">
      <c r="A52" s="376" t="s">
        <v>1357</v>
      </c>
      <c r="B52" s="1057"/>
      <c r="C52" s="1058"/>
      <c r="D52" s="1057"/>
      <c r="E52" s="1058"/>
      <c r="F52" s="1057"/>
      <c r="G52" s="1057"/>
      <c r="H52" s="1057"/>
      <c r="I52" s="1057"/>
      <c r="J52" s="1057"/>
      <c r="K52" s="1058"/>
      <c r="L52" s="1057"/>
      <c r="M52" s="1057"/>
      <c r="N52" s="1235" t="s">
        <v>1572</v>
      </c>
    </row>
    <row r="53" spans="1:14" ht="18.95" customHeight="1">
      <c r="A53" s="520" t="s">
        <v>1195</v>
      </c>
      <c r="B53" s="668">
        <f t="shared" ref="B53:G53" si="8">SUM(B47:B52)</f>
        <v>0</v>
      </c>
      <c r="C53" s="668">
        <f t="shared" si="8"/>
        <v>459.5</v>
      </c>
      <c r="D53" s="668">
        <f t="shared" si="8"/>
        <v>0</v>
      </c>
      <c r="E53" s="668">
        <f t="shared" si="8"/>
        <v>0</v>
      </c>
      <c r="F53" s="668">
        <f t="shared" si="8"/>
        <v>0</v>
      </c>
      <c r="G53" s="668">
        <f t="shared" si="8"/>
        <v>0</v>
      </c>
      <c r="H53" s="668">
        <f t="shared" ref="H53:M53" si="9">SUM(H47:H52)</f>
        <v>0</v>
      </c>
      <c r="I53" s="668">
        <f t="shared" si="9"/>
        <v>31</v>
      </c>
      <c r="J53" s="668">
        <f t="shared" si="9"/>
        <v>0</v>
      </c>
      <c r="K53" s="668">
        <f t="shared" si="9"/>
        <v>0</v>
      </c>
      <c r="L53" s="668">
        <f t="shared" si="9"/>
        <v>0</v>
      </c>
      <c r="M53" s="668">
        <f t="shared" si="9"/>
        <v>0</v>
      </c>
      <c r="N53" s="1235" t="s">
        <v>1573</v>
      </c>
    </row>
    <row r="54" spans="1:14" ht="18.95" customHeight="1">
      <c r="A54" s="376" t="s">
        <v>1582</v>
      </c>
      <c r="B54" s="1057">
        <v>0</v>
      </c>
      <c r="C54" s="1058">
        <v>0</v>
      </c>
      <c r="D54" s="1057">
        <v>0</v>
      </c>
      <c r="E54" s="1058">
        <v>0</v>
      </c>
      <c r="F54" s="1057">
        <v>0</v>
      </c>
      <c r="G54" s="1057">
        <v>0</v>
      </c>
      <c r="H54" s="1057">
        <v>0</v>
      </c>
      <c r="I54" s="1057">
        <v>0</v>
      </c>
      <c r="J54" s="1057">
        <v>0</v>
      </c>
      <c r="K54" s="1058">
        <v>5</v>
      </c>
      <c r="L54" s="1057">
        <v>0</v>
      </c>
      <c r="M54" s="1057">
        <v>0</v>
      </c>
      <c r="N54" s="1235" t="s">
        <v>1583</v>
      </c>
    </row>
    <row r="55" spans="1:14" ht="18.95" customHeight="1">
      <c r="A55" s="376" t="s">
        <v>1588</v>
      </c>
      <c r="B55" s="1057"/>
      <c r="C55" s="1058"/>
      <c r="D55" s="1057"/>
      <c r="E55" s="1058"/>
      <c r="F55" s="1057"/>
      <c r="G55" s="1057"/>
      <c r="H55" s="1057"/>
      <c r="I55" s="1057"/>
      <c r="J55" s="1057"/>
      <c r="K55" s="1058"/>
      <c r="L55" s="1057"/>
      <c r="M55" s="1057"/>
      <c r="N55" s="1235" t="s">
        <v>1589</v>
      </c>
    </row>
    <row r="56" spans="1:14" ht="18.95" customHeight="1">
      <c r="A56" s="377" t="s">
        <v>1593</v>
      </c>
      <c r="B56" s="1057"/>
      <c r="C56" s="1058"/>
      <c r="D56" s="1057"/>
      <c r="E56" s="1058"/>
      <c r="F56" s="1057"/>
      <c r="G56" s="1057"/>
      <c r="H56" s="1057"/>
      <c r="I56" s="1057"/>
      <c r="J56" s="1057"/>
      <c r="K56" s="1058"/>
      <c r="L56" s="1057"/>
      <c r="M56" s="1057"/>
      <c r="N56" s="1235" t="s">
        <v>1594</v>
      </c>
    </row>
    <row r="57" spans="1:14" ht="18.95" customHeight="1">
      <c r="A57" s="377" t="s">
        <v>1099</v>
      </c>
      <c r="B57" s="1057">
        <v>0</v>
      </c>
      <c r="C57" s="1058">
        <v>5</v>
      </c>
      <c r="D57" s="1057">
        <v>0</v>
      </c>
      <c r="E57" s="1058">
        <v>0</v>
      </c>
      <c r="F57" s="1057">
        <v>0</v>
      </c>
      <c r="G57" s="1057">
        <v>0</v>
      </c>
      <c r="H57" s="1057">
        <v>0</v>
      </c>
      <c r="I57" s="1057">
        <v>0</v>
      </c>
      <c r="J57" s="1057">
        <v>0</v>
      </c>
      <c r="K57" s="1058">
        <v>0</v>
      </c>
      <c r="L57" s="1057">
        <v>0</v>
      </c>
      <c r="M57" s="1057">
        <v>0</v>
      </c>
      <c r="N57" s="1235" t="s">
        <v>1791</v>
      </c>
    </row>
    <row r="58" spans="1:14" ht="18.95" customHeight="1">
      <c r="A58" s="376" t="s">
        <v>400</v>
      </c>
      <c r="B58" s="1057"/>
      <c r="C58" s="1058"/>
      <c r="D58" s="1057"/>
      <c r="E58" s="1058"/>
      <c r="F58" s="1057"/>
      <c r="G58" s="1057"/>
      <c r="H58" s="1057"/>
      <c r="I58" s="1057"/>
      <c r="J58" s="1057"/>
      <c r="K58" s="1058"/>
      <c r="L58" s="1057"/>
      <c r="M58" s="1057"/>
      <c r="N58" s="1235" t="s">
        <v>1600</v>
      </c>
    </row>
    <row r="59" spans="1:14" ht="18.95" customHeight="1">
      <c r="A59" s="370" t="s">
        <v>401</v>
      </c>
      <c r="B59" s="1057">
        <v>0</v>
      </c>
      <c r="C59" s="1058">
        <v>20</v>
      </c>
      <c r="D59" s="1057">
        <v>0</v>
      </c>
      <c r="E59" s="1058">
        <v>0</v>
      </c>
      <c r="F59" s="1057">
        <v>0</v>
      </c>
      <c r="G59" s="1057">
        <v>0</v>
      </c>
      <c r="H59" s="1057">
        <v>5</v>
      </c>
      <c r="I59" s="1057">
        <v>0</v>
      </c>
      <c r="J59" s="1057">
        <v>0</v>
      </c>
      <c r="K59" s="1058">
        <v>0</v>
      </c>
      <c r="L59" s="1057">
        <v>0</v>
      </c>
      <c r="M59" s="1057">
        <v>0</v>
      </c>
      <c r="N59" s="1235" t="s">
        <v>723</v>
      </c>
    </row>
    <row r="60" spans="1:14" ht="18.95" customHeight="1">
      <c r="A60" s="378" t="s">
        <v>402</v>
      </c>
      <c r="B60" s="1057"/>
      <c r="C60" s="1058"/>
      <c r="D60" s="1057"/>
      <c r="E60" s="1058"/>
      <c r="F60" s="1057"/>
      <c r="G60" s="1057"/>
      <c r="H60" s="1057"/>
      <c r="I60" s="1057"/>
      <c r="J60" s="1057"/>
      <c r="K60" s="1058"/>
      <c r="L60" s="1057"/>
      <c r="M60" s="1057"/>
      <c r="N60" s="1235" t="s">
        <v>419</v>
      </c>
    </row>
    <row r="61" spans="1:14" ht="18.95" customHeight="1">
      <c r="A61" s="378" t="s">
        <v>866</v>
      </c>
      <c r="B61" s="1057">
        <v>0</v>
      </c>
      <c r="C61" s="1058">
        <v>134.25</v>
      </c>
      <c r="D61" s="1057">
        <v>0</v>
      </c>
      <c r="E61" s="1058">
        <v>0</v>
      </c>
      <c r="F61" s="1057">
        <v>0</v>
      </c>
      <c r="G61" s="1057">
        <v>0</v>
      </c>
      <c r="H61" s="1057">
        <v>0</v>
      </c>
      <c r="I61" s="1057">
        <v>0</v>
      </c>
      <c r="J61" s="1057">
        <v>0</v>
      </c>
      <c r="K61" s="1058">
        <v>0</v>
      </c>
      <c r="L61" s="1057">
        <v>0</v>
      </c>
      <c r="M61" s="1057">
        <v>0</v>
      </c>
      <c r="N61" s="1235" t="s">
        <v>867</v>
      </c>
    </row>
    <row r="62" spans="1:14" ht="18.95" customHeight="1">
      <c r="A62" s="379" t="s">
        <v>2112</v>
      </c>
      <c r="B62" s="1057">
        <v>20</v>
      </c>
      <c r="C62" s="1058">
        <v>5</v>
      </c>
      <c r="D62" s="1057">
        <v>0</v>
      </c>
      <c r="E62" s="1058">
        <v>0</v>
      </c>
      <c r="F62" s="1057">
        <v>0</v>
      </c>
      <c r="G62" s="1057">
        <v>0</v>
      </c>
      <c r="H62" s="1057">
        <v>0</v>
      </c>
      <c r="I62" s="1057">
        <v>0</v>
      </c>
      <c r="J62" s="1057">
        <v>0</v>
      </c>
      <c r="K62" s="1058">
        <v>0</v>
      </c>
      <c r="L62" s="1057">
        <v>0</v>
      </c>
      <c r="M62" s="1057">
        <v>0</v>
      </c>
      <c r="N62" s="1235" t="s">
        <v>2113</v>
      </c>
    </row>
    <row r="63" spans="1:14" ht="18.95" customHeight="1">
      <c r="A63" s="376" t="s">
        <v>2118</v>
      </c>
      <c r="B63" s="1057">
        <v>0</v>
      </c>
      <c r="C63" s="1058">
        <v>77.75</v>
      </c>
      <c r="D63" s="1057">
        <v>0</v>
      </c>
      <c r="E63" s="1058">
        <v>0</v>
      </c>
      <c r="F63" s="1057">
        <v>0</v>
      </c>
      <c r="G63" s="1057">
        <v>0</v>
      </c>
      <c r="H63" s="1057">
        <v>0</v>
      </c>
      <c r="I63" s="1057">
        <v>0</v>
      </c>
      <c r="J63" s="1057">
        <v>0</v>
      </c>
      <c r="K63" s="1058">
        <v>0</v>
      </c>
      <c r="L63" s="1057">
        <v>0</v>
      </c>
      <c r="M63" s="1057">
        <v>0</v>
      </c>
      <c r="N63" s="1235" t="s">
        <v>2119</v>
      </c>
    </row>
    <row r="64" spans="1:14" ht="18.95" customHeight="1">
      <c r="A64" s="370" t="s">
        <v>2124</v>
      </c>
      <c r="B64" s="1057"/>
      <c r="C64" s="1058"/>
      <c r="D64" s="1057"/>
      <c r="E64" s="1058"/>
      <c r="F64" s="1057"/>
      <c r="G64" s="1057"/>
      <c r="H64" s="1057"/>
      <c r="I64" s="1057"/>
      <c r="J64" s="1057"/>
      <c r="K64" s="1058"/>
      <c r="L64" s="1057"/>
      <c r="M64" s="1057"/>
      <c r="N64" s="1235" t="s">
        <v>2125</v>
      </c>
    </row>
    <row r="65" spans="1:14" ht="18.95" customHeight="1">
      <c r="A65" s="522" t="s">
        <v>1574</v>
      </c>
      <c r="B65" s="669">
        <f t="shared" ref="B65:G65" si="10">SUM(B54:B64)</f>
        <v>20</v>
      </c>
      <c r="C65" s="669">
        <f t="shared" si="10"/>
        <v>242</v>
      </c>
      <c r="D65" s="669">
        <f t="shared" si="10"/>
        <v>0</v>
      </c>
      <c r="E65" s="669">
        <f t="shared" si="10"/>
        <v>0</v>
      </c>
      <c r="F65" s="669">
        <f t="shared" si="10"/>
        <v>0</v>
      </c>
      <c r="G65" s="669">
        <f t="shared" si="10"/>
        <v>0</v>
      </c>
      <c r="H65" s="669">
        <f t="shared" ref="H65:M65" si="11">SUM(H54:H64)</f>
        <v>5</v>
      </c>
      <c r="I65" s="669">
        <f t="shared" si="11"/>
        <v>0</v>
      </c>
      <c r="J65" s="669">
        <f t="shared" si="11"/>
        <v>0</v>
      </c>
      <c r="K65" s="669">
        <f t="shared" si="11"/>
        <v>5</v>
      </c>
      <c r="L65" s="669">
        <f t="shared" si="11"/>
        <v>0</v>
      </c>
      <c r="M65" s="669">
        <f t="shared" si="11"/>
        <v>0</v>
      </c>
      <c r="N65" s="1235" t="s">
        <v>2126</v>
      </c>
    </row>
    <row r="66" spans="1:14" ht="18.95" customHeight="1">
      <c r="A66" s="184" t="s">
        <v>1639</v>
      </c>
      <c r="B66" s="1059">
        <v>0</v>
      </c>
      <c r="C66" s="1059">
        <v>0</v>
      </c>
      <c r="D66" s="1059">
        <v>0</v>
      </c>
      <c r="E66" s="1059">
        <v>0</v>
      </c>
      <c r="F66" s="1059">
        <v>0</v>
      </c>
      <c r="G66" s="1059">
        <v>0</v>
      </c>
      <c r="H66" s="1059">
        <v>4</v>
      </c>
      <c r="I66" s="1059">
        <v>0</v>
      </c>
      <c r="J66" s="1059">
        <v>0</v>
      </c>
      <c r="K66" s="1059">
        <v>0</v>
      </c>
      <c r="L66" s="1059">
        <v>0</v>
      </c>
      <c r="M66" s="1059">
        <v>0</v>
      </c>
      <c r="N66" s="1235" t="s">
        <v>1640</v>
      </c>
    </row>
    <row r="67" spans="1:14" ht="18.95" customHeight="1">
      <c r="A67" s="160" t="s">
        <v>1647</v>
      </c>
      <c r="B67" s="1060"/>
      <c r="C67" s="1060"/>
      <c r="D67" s="1060"/>
      <c r="E67" s="1060"/>
      <c r="F67" s="1060"/>
      <c r="G67" s="1060"/>
      <c r="H67" s="1060"/>
      <c r="I67" s="1060"/>
      <c r="J67" s="1060"/>
      <c r="K67" s="1060"/>
      <c r="L67" s="1060"/>
      <c r="M67" s="1060"/>
      <c r="N67" s="1235" t="s">
        <v>1648</v>
      </c>
    </row>
    <row r="68" spans="1:14" ht="18.95" customHeight="1">
      <c r="A68" s="523" t="s">
        <v>2127</v>
      </c>
      <c r="B68" s="670">
        <f t="shared" ref="B68:G68" si="12">SUM(B66:B67)</f>
        <v>0</v>
      </c>
      <c r="C68" s="670">
        <f t="shared" si="12"/>
        <v>0</v>
      </c>
      <c r="D68" s="670">
        <f t="shared" si="12"/>
        <v>0</v>
      </c>
      <c r="E68" s="670">
        <f t="shared" si="12"/>
        <v>0</v>
      </c>
      <c r="F68" s="670">
        <f t="shared" si="12"/>
        <v>0</v>
      </c>
      <c r="G68" s="670">
        <f t="shared" si="12"/>
        <v>0</v>
      </c>
      <c r="H68" s="670">
        <f t="shared" ref="H68:M68" si="13">SUM(H66:H67)</f>
        <v>4</v>
      </c>
      <c r="I68" s="670">
        <f t="shared" si="13"/>
        <v>0</v>
      </c>
      <c r="J68" s="670">
        <f t="shared" si="13"/>
        <v>0</v>
      </c>
      <c r="K68" s="670">
        <f t="shared" si="13"/>
        <v>0</v>
      </c>
      <c r="L68" s="670">
        <f t="shared" si="13"/>
        <v>0</v>
      </c>
      <c r="M68" s="670">
        <f t="shared" si="13"/>
        <v>0</v>
      </c>
      <c r="N68" s="1235" t="s">
        <v>1649</v>
      </c>
    </row>
    <row r="69" spans="1:14" ht="18.95" customHeight="1">
      <c r="A69" s="187" t="s">
        <v>1657</v>
      </c>
      <c r="B69" s="1059">
        <v>316</v>
      </c>
      <c r="C69" s="1059">
        <v>0</v>
      </c>
      <c r="D69" s="1059">
        <v>0</v>
      </c>
      <c r="E69" s="1059">
        <v>0</v>
      </c>
      <c r="F69" s="1059">
        <v>0</v>
      </c>
      <c r="G69" s="1059">
        <v>0</v>
      </c>
      <c r="H69" s="1059">
        <v>0</v>
      </c>
      <c r="I69" s="1059">
        <v>0</v>
      </c>
      <c r="J69" s="1059">
        <v>0</v>
      </c>
      <c r="K69" s="1059">
        <v>0</v>
      </c>
      <c r="L69" s="1059">
        <v>0</v>
      </c>
      <c r="M69" s="1059">
        <v>0</v>
      </c>
      <c r="N69" s="1235" t="s">
        <v>1658</v>
      </c>
    </row>
    <row r="70" spans="1:14" ht="18.95" customHeight="1">
      <c r="A70" s="380" t="s">
        <v>403</v>
      </c>
      <c r="B70" s="1059">
        <v>6736.75</v>
      </c>
      <c r="C70" s="1059">
        <v>1199.5</v>
      </c>
      <c r="D70" s="1059">
        <v>0</v>
      </c>
      <c r="E70" s="1059">
        <v>0</v>
      </c>
      <c r="F70" s="1059">
        <v>0</v>
      </c>
      <c r="G70" s="1059">
        <v>0</v>
      </c>
      <c r="H70" s="1059">
        <v>0</v>
      </c>
      <c r="I70" s="1059">
        <v>0</v>
      </c>
      <c r="J70" s="1059">
        <v>0</v>
      </c>
      <c r="K70" s="1059">
        <v>0</v>
      </c>
      <c r="L70" s="1059">
        <v>0</v>
      </c>
      <c r="M70" s="1059">
        <v>0</v>
      </c>
      <c r="N70" s="1235" t="s">
        <v>302</v>
      </c>
    </row>
    <row r="71" spans="1:14" ht="18.95" customHeight="1">
      <c r="A71" s="380" t="s">
        <v>308</v>
      </c>
      <c r="B71" s="1059">
        <v>32862.5</v>
      </c>
      <c r="C71" s="1059">
        <v>9440.0499999999993</v>
      </c>
      <c r="D71" s="1059">
        <v>0</v>
      </c>
      <c r="E71" s="1059">
        <v>0</v>
      </c>
      <c r="F71" s="1059">
        <v>0</v>
      </c>
      <c r="G71" s="1059">
        <v>0</v>
      </c>
      <c r="H71" s="1059">
        <v>0</v>
      </c>
      <c r="I71" s="1059">
        <v>0</v>
      </c>
      <c r="J71" s="1059">
        <v>0</v>
      </c>
      <c r="K71" s="1059">
        <v>0</v>
      </c>
      <c r="L71" s="1059">
        <v>0</v>
      </c>
      <c r="M71" s="1059">
        <v>0</v>
      </c>
      <c r="N71" s="1235" t="s">
        <v>309</v>
      </c>
    </row>
    <row r="72" spans="1:14" ht="18.95" customHeight="1">
      <c r="A72" s="380" t="s">
        <v>314</v>
      </c>
      <c r="B72" s="1059"/>
      <c r="C72" s="1059"/>
      <c r="D72" s="1059"/>
      <c r="E72" s="1059"/>
      <c r="F72" s="1059"/>
      <c r="G72" s="1059"/>
      <c r="H72" s="1059"/>
      <c r="I72" s="1059"/>
      <c r="J72" s="1059"/>
      <c r="K72" s="1059"/>
      <c r="L72" s="1059"/>
      <c r="M72" s="1059"/>
      <c r="N72" s="1235" t="s">
        <v>315</v>
      </c>
    </row>
    <row r="73" spans="1:14" ht="18.95" customHeight="1">
      <c r="A73" s="524" t="s">
        <v>1650</v>
      </c>
      <c r="B73" s="670">
        <f t="shared" ref="B73:G73" si="14">SUM(B69:B72)</f>
        <v>39915.25</v>
      </c>
      <c r="C73" s="670">
        <f t="shared" si="14"/>
        <v>10639.55</v>
      </c>
      <c r="D73" s="670">
        <f t="shared" si="14"/>
        <v>0</v>
      </c>
      <c r="E73" s="670">
        <f t="shared" si="14"/>
        <v>0</v>
      </c>
      <c r="F73" s="670">
        <f t="shared" si="14"/>
        <v>0</v>
      </c>
      <c r="G73" s="670">
        <f t="shared" si="14"/>
        <v>0</v>
      </c>
      <c r="H73" s="670">
        <f t="shared" ref="H73:M73" si="15">SUM(H69:H72)</f>
        <v>0</v>
      </c>
      <c r="I73" s="670">
        <f t="shared" si="15"/>
        <v>0</v>
      </c>
      <c r="J73" s="670">
        <f t="shared" si="15"/>
        <v>0</v>
      </c>
      <c r="K73" s="670">
        <f t="shared" si="15"/>
        <v>0</v>
      </c>
      <c r="L73" s="670">
        <f t="shared" si="15"/>
        <v>0</v>
      </c>
      <c r="M73" s="670">
        <f t="shared" si="15"/>
        <v>0</v>
      </c>
      <c r="N73" s="1235" t="s">
        <v>316</v>
      </c>
    </row>
    <row r="74" spans="1:14" ht="18.95" customHeight="1">
      <c r="A74" s="184" t="s">
        <v>1424</v>
      </c>
      <c r="B74" s="1060"/>
      <c r="C74" s="1060"/>
      <c r="D74" s="1060"/>
      <c r="E74" s="1060"/>
      <c r="F74" s="1060"/>
      <c r="G74" s="1060"/>
      <c r="H74" s="1060"/>
      <c r="I74" s="1060"/>
      <c r="J74" s="1060"/>
      <c r="K74" s="1060"/>
      <c r="L74" s="1060"/>
      <c r="M74" s="1060"/>
      <c r="N74" s="1235" t="s">
        <v>1800</v>
      </c>
    </row>
    <row r="75" spans="1:14" ht="18.95" customHeight="1">
      <c r="A75" s="184" t="s">
        <v>1432</v>
      </c>
      <c r="B75" s="1060"/>
      <c r="C75" s="1060"/>
      <c r="D75" s="1060"/>
      <c r="E75" s="1060"/>
      <c r="F75" s="1060"/>
      <c r="G75" s="1060"/>
      <c r="H75" s="1060"/>
      <c r="I75" s="1060"/>
      <c r="J75" s="1060"/>
      <c r="K75" s="1060"/>
      <c r="L75" s="1060"/>
      <c r="M75" s="1060"/>
      <c r="N75" s="1235" t="s">
        <v>2220</v>
      </c>
    </row>
    <row r="76" spans="1:14" ht="18.95" customHeight="1">
      <c r="A76" s="160" t="s">
        <v>404</v>
      </c>
      <c r="B76" s="1060"/>
      <c r="C76" s="1060"/>
      <c r="D76" s="1060"/>
      <c r="E76" s="1060"/>
      <c r="F76" s="1060"/>
      <c r="G76" s="1060"/>
      <c r="H76" s="1060"/>
      <c r="I76" s="1060"/>
      <c r="J76" s="1060"/>
      <c r="K76" s="1060"/>
      <c r="L76" s="1060"/>
      <c r="M76" s="1060"/>
      <c r="N76" s="1235" t="s">
        <v>2227</v>
      </c>
    </row>
    <row r="77" spans="1:14" ht="18.95" customHeight="1">
      <c r="A77" s="184" t="s">
        <v>1064</v>
      </c>
      <c r="B77" s="1060"/>
      <c r="C77" s="1060"/>
      <c r="D77" s="1060"/>
      <c r="E77" s="1060"/>
      <c r="F77" s="1060"/>
      <c r="G77" s="1060"/>
      <c r="H77" s="1060"/>
      <c r="I77" s="1060"/>
      <c r="J77" s="1060"/>
      <c r="K77" s="1060"/>
      <c r="L77" s="1060"/>
      <c r="M77" s="1060"/>
      <c r="N77" s="1235" t="s">
        <v>1065</v>
      </c>
    </row>
    <row r="78" spans="1:14" ht="18.95" customHeight="1">
      <c r="A78" s="187" t="s">
        <v>405</v>
      </c>
      <c r="B78" s="1059"/>
      <c r="C78" s="1059"/>
      <c r="D78" s="1059"/>
      <c r="E78" s="1059"/>
      <c r="F78" s="1059"/>
      <c r="G78" s="1059"/>
      <c r="H78" s="1059"/>
      <c r="I78" s="1059"/>
      <c r="J78" s="1059"/>
      <c r="K78" s="1059"/>
      <c r="L78" s="1059"/>
      <c r="M78" s="1059"/>
      <c r="N78" s="1235" t="s">
        <v>1807</v>
      </c>
    </row>
    <row r="79" spans="1:14" ht="18.95" customHeight="1">
      <c r="A79" s="160" t="s">
        <v>2112</v>
      </c>
      <c r="B79" s="1059"/>
      <c r="C79" s="1059"/>
      <c r="D79" s="1059"/>
      <c r="E79" s="1059"/>
      <c r="F79" s="1059"/>
      <c r="G79" s="1059"/>
      <c r="H79" s="1059"/>
      <c r="I79" s="1059"/>
      <c r="J79" s="1059"/>
      <c r="K79" s="1059"/>
      <c r="L79" s="1059"/>
      <c r="M79" s="1059"/>
      <c r="N79" s="1235" t="s">
        <v>1812</v>
      </c>
    </row>
    <row r="80" spans="1:14" ht="18.95" customHeight="1">
      <c r="A80" s="160" t="s">
        <v>406</v>
      </c>
      <c r="B80" s="1059"/>
      <c r="C80" s="1059"/>
      <c r="D80" s="1059"/>
      <c r="E80" s="1059"/>
      <c r="F80" s="1059"/>
      <c r="G80" s="1059"/>
      <c r="H80" s="1059"/>
      <c r="I80" s="1059"/>
      <c r="J80" s="1059"/>
      <c r="K80" s="1059"/>
      <c r="L80" s="1059"/>
      <c r="M80" s="1059"/>
      <c r="N80" s="1235" t="s">
        <v>1073</v>
      </c>
    </row>
    <row r="81" spans="1:14" ht="18.95" customHeight="1">
      <c r="A81" s="184" t="s">
        <v>407</v>
      </c>
      <c r="B81" s="1059"/>
      <c r="C81" s="1059"/>
      <c r="D81" s="1059"/>
      <c r="E81" s="1059"/>
      <c r="F81" s="1059"/>
      <c r="G81" s="1059"/>
      <c r="H81" s="1059"/>
      <c r="I81" s="1059"/>
      <c r="J81" s="1059"/>
      <c r="K81" s="1059"/>
      <c r="L81" s="1059"/>
      <c r="M81" s="1059"/>
      <c r="N81" s="1235" t="s">
        <v>1079</v>
      </c>
    </row>
    <row r="82" spans="1:14" ht="18.95" customHeight="1">
      <c r="A82" s="525" t="s">
        <v>2192</v>
      </c>
      <c r="B82" s="670">
        <f t="shared" ref="B82:G82" si="16">SUM(B74:B81)</f>
        <v>0</v>
      </c>
      <c r="C82" s="670">
        <f t="shared" si="16"/>
        <v>0</v>
      </c>
      <c r="D82" s="670">
        <f t="shared" si="16"/>
        <v>0</v>
      </c>
      <c r="E82" s="670">
        <f t="shared" si="16"/>
        <v>0</v>
      </c>
      <c r="F82" s="670">
        <f t="shared" si="16"/>
        <v>0</v>
      </c>
      <c r="G82" s="670">
        <f t="shared" si="16"/>
        <v>0</v>
      </c>
      <c r="H82" s="670">
        <f t="shared" ref="H82:M82" si="17">SUM(H74:H81)</f>
        <v>0</v>
      </c>
      <c r="I82" s="670">
        <f t="shared" si="17"/>
        <v>0</v>
      </c>
      <c r="J82" s="670">
        <f t="shared" si="17"/>
        <v>0</v>
      </c>
      <c r="K82" s="670">
        <f t="shared" si="17"/>
        <v>0</v>
      </c>
      <c r="L82" s="670">
        <f t="shared" si="17"/>
        <v>0</v>
      </c>
      <c r="M82" s="670">
        <f t="shared" si="17"/>
        <v>0</v>
      </c>
      <c r="N82" s="1235" t="s">
        <v>1081</v>
      </c>
    </row>
    <row r="83" spans="1:14" ht="18.95" customHeight="1">
      <c r="A83" s="380" t="s">
        <v>684</v>
      </c>
      <c r="B83" s="1060">
        <v>115</v>
      </c>
      <c r="C83" s="1060">
        <v>10</v>
      </c>
      <c r="D83" s="1060">
        <v>0</v>
      </c>
      <c r="E83" s="1060">
        <v>0</v>
      </c>
      <c r="F83" s="1060">
        <v>0</v>
      </c>
      <c r="G83" s="1060">
        <v>0</v>
      </c>
      <c r="H83" s="1060">
        <v>0</v>
      </c>
      <c r="I83" s="1060">
        <v>0</v>
      </c>
      <c r="J83" s="1060">
        <v>0</v>
      </c>
      <c r="K83" s="1060">
        <v>0</v>
      </c>
      <c r="L83" s="1060">
        <v>0</v>
      </c>
      <c r="M83" s="1060">
        <v>0</v>
      </c>
      <c r="N83" s="1235" t="s">
        <v>685</v>
      </c>
    </row>
    <row r="84" spans="1:14" ht="18.95" customHeight="1">
      <c r="A84" s="380" t="s">
        <v>408</v>
      </c>
      <c r="B84" s="1059">
        <v>323.5</v>
      </c>
      <c r="C84" s="1059">
        <v>143.6</v>
      </c>
      <c r="D84" s="1059">
        <v>0</v>
      </c>
      <c r="E84" s="1059">
        <v>0</v>
      </c>
      <c r="F84" s="1059">
        <v>0</v>
      </c>
      <c r="G84" s="1059">
        <v>0</v>
      </c>
      <c r="H84" s="1059">
        <v>74.5</v>
      </c>
      <c r="I84" s="1059">
        <v>53</v>
      </c>
      <c r="J84" s="1059">
        <v>0</v>
      </c>
      <c r="K84" s="1059">
        <v>0</v>
      </c>
      <c r="L84" s="1059">
        <v>0</v>
      </c>
      <c r="M84" s="1059">
        <v>0</v>
      </c>
      <c r="N84" s="1235" t="s">
        <v>693</v>
      </c>
    </row>
    <row r="85" spans="1:14" ht="18.95" customHeight="1">
      <c r="A85" s="525" t="s">
        <v>1082</v>
      </c>
      <c r="B85" s="670">
        <f t="shared" ref="B85:G85" si="18">SUM(B83:B84)</f>
        <v>438.5</v>
      </c>
      <c r="C85" s="670">
        <f t="shared" si="18"/>
        <v>153.6</v>
      </c>
      <c r="D85" s="670">
        <f t="shared" si="18"/>
        <v>0</v>
      </c>
      <c r="E85" s="670">
        <f t="shared" si="18"/>
        <v>0</v>
      </c>
      <c r="F85" s="670">
        <f t="shared" si="18"/>
        <v>0</v>
      </c>
      <c r="G85" s="670">
        <f t="shared" si="18"/>
        <v>0</v>
      </c>
      <c r="H85" s="670">
        <f t="shared" ref="H85:M85" si="19">SUM(H83:H84)</f>
        <v>74.5</v>
      </c>
      <c r="I85" s="670">
        <f t="shared" si="19"/>
        <v>53</v>
      </c>
      <c r="J85" s="670">
        <f t="shared" si="19"/>
        <v>0</v>
      </c>
      <c r="K85" s="670">
        <f t="shared" si="19"/>
        <v>0</v>
      </c>
      <c r="L85" s="670">
        <f t="shared" si="19"/>
        <v>0</v>
      </c>
      <c r="M85" s="670">
        <f t="shared" si="19"/>
        <v>0</v>
      </c>
      <c r="N85" s="1235" t="s">
        <v>694</v>
      </c>
    </row>
    <row r="86" spans="1:14" ht="18.95" customHeight="1">
      <c r="A86" s="525" t="s">
        <v>696</v>
      </c>
      <c r="B86" s="670">
        <f t="shared" ref="B86:M86" si="20">B25+B32+B42+B46+B53+B65+B68+B73+B82+B85</f>
        <v>70347.95</v>
      </c>
      <c r="C86" s="670">
        <f t="shared" si="20"/>
        <v>24289.999999999996</v>
      </c>
      <c r="D86" s="670">
        <f t="shared" si="20"/>
        <v>1063.5</v>
      </c>
      <c r="E86" s="670">
        <f t="shared" si="20"/>
        <v>87773.5</v>
      </c>
      <c r="F86" s="670">
        <f t="shared" si="20"/>
        <v>0</v>
      </c>
      <c r="G86" s="670">
        <f t="shared" si="20"/>
        <v>0</v>
      </c>
      <c r="H86" s="670">
        <f>H25+H32+H42+H46+H53+H65+H68+H73+H82+H85</f>
        <v>4618.5</v>
      </c>
      <c r="I86" s="670">
        <f>I25+I32+I42+I46+I53+I65+I68+I73+I82+I85</f>
        <v>3215.75</v>
      </c>
      <c r="J86" s="670">
        <f t="shared" si="20"/>
        <v>62</v>
      </c>
      <c r="K86" s="670">
        <f t="shared" si="20"/>
        <v>7561.68</v>
      </c>
      <c r="L86" s="670">
        <f t="shared" si="20"/>
        <v>0</v>
      </c>
      <c r="M86" s="670">
        <f t="shared" si="20"/>
        <v>0</v>
      </c>
      <c r="N86" s="1248" t="s">
        <v>697</v>
      </c>
    </row>
    <row r="87" spans="1:14" ht="18.95" customHeight="1"/>
    <row r="88" spans="1:14">
      <c r="A88" s="152" t="s">
        <v>509</v>
      </c>
    </row>
    <row r="90" spans="1:14" ht="12.75" customHeight="1">
      <c r="B90" s="1249">
        <v>1</v>
      </c>
      <c r="C90" s="1250">
        <v>2</v>
      </c>
      <c r="D90" s="1249">
        <v>1</v>
      </c>
      <c r="E90" s="1249">
        <v>2</v>
      </c>
      <c r="F90" s="1249">
        <v>1</v>
      </c>
      <c r="G90" s="1249">
        <v>2</v>
      </c>
      <c r="H90" s="1249">
        <v>1</v>
      </c>
      <c r="I90" s="1249">
        <v>2</v>
      </c>
      <c r="J90" s="1249">
        <v>1</v>
      </c>
      <c r="K90" s="1249">
        <v>2</v>
      </c>
      <c r="L90" s="1249">
        <v>1</v>
      </c>
      <c r="M90" s="1249">
        <v>2</v>
      </c>
      <c r="N90" s="1235" t="s">
        <v>1307</v>
      </c>
    </row>
    <row r="91" spans="1:14" ht="12.75" customHeight="1">
      <c r="B91" s="1249">
        <v>1</v>
      </c>
      <c r="C91" s="1250">
        <v>1</v>
      </c>
      <c r="D91" s="1249">
        <v>2</v>
      </c>
      <c r="E91" s="1249">
        <v>2</v>
      </c>
      <c r="F91" s="1249">
        <v>1</v>
      </c>
      <c r="G91" s="1249">
        <v>1</v>
      </c>
      <c r="H91" s="1249">
        <v>1</v>
      </c>
      <c r="I91" s="1249">
        <v>1</v>
      </c>
      <c r="J91" s="1249">
        <v>2</v>
      </c>
      <c r="K91" s="1249">
        <v>2</v>
      </c>
      <c r="L91" s="1249">
        <v>1</v>
      </c>
      <c r="M91" s="1249">
        <v>1</v>
      </c>
      <c r="N91" s="1235" t="s">
        <v>510</v>
      </c>
    </row>
    <row r="92" spans="1:14" ht="12.75" customHeight="1">
      <c r="B92" s="1249">
        <v>1</v>
      </c>
      <c r="C92" s="1250">
        <v>1</v>
      </c>
      <c r="D92" s="1249">
        <v>1</v>
      </c>
      <c r="E92" s="1249">
        <v>1</v>
      </c>
      <c r="F92" s="1249">
        <v>1</v>
      </c>
      <c r="G92" s="1249">
        <v>1</v>
      </c>
      <c r="H92" s="1249">
        <v>2</v>
      </c>
      <c r="I92" s="1249">
        <v>2</v>
      </c>
      <c r="J92" s="1249">
        <v>2</v>
      </c>
      <c r="K92" s="1249">
        <v>2</v>
      </c>
      <c r="L92" s="1249">
        <v>2</v>
      </c>
      <c r="M92" s="1249">
        <v>2</v>
      </c>
      <c r="N92" s="1235" t="s">
        <v>1512</v>
      </c>
    </row>
    <row r="93" spans="1:14" ht="12.75" customHeight="1">
      <c r="B93" s="1251">
        <v>10</v>
      </c>
      <c r="C93" s="1251">
        <v>10</v>
      </c>
      <c r="D93" s="1252">
        <v>20</v>
      </c>
      <c r="E93" s="1252">
        <v>20</v>
      </c>
      <c r="F93" s="1252">
        <v>20</v>
      </c>
      <c r="G93" s="1252">
        <v>20</v>
      </c>
      <c r="H93" s="1252">
        <v>10</v>
      </c>
      <c r="I93" s="1252">
        <v>10</v>
      </c>
      <c r="J93" s="1251">
        <v>20</v>
      </c>
      <c r="K93" s="1251">
        <v>20</v>
      </c>
      <c r="L93" s="1251">
        <v>20</v>
      </c>
      <c r="M93" s="1251">
        <v>20</v>
      </c>
      <c r="N93" s="1235" t="s">
        <v>1951</v>
      </c>
    </row>
  </sheetData>
  <sheetProtection algorithmName="SHA-512" hashValue="hi2cy5KIP42A1XityeD059ediPEVsd/+NqCNN0p8tX9Q8LE9Sq5GWPkm9UvGOEHGNi9w5UlwWzuE+WApEyyGYA==" saltValue="Rn+wRvEWfLZx0aGPSWWXoQ==" spinCount="100000" sheet="1" objects="1" scenarios="1"/>
  <mergeCells count="17">
    <mergeCell ref="D17:G17"/>
    <mergeCell ref="B1:C1"/>
    <mergeCell ref="A3:M3"/>
    <mergeCell ref="A18:A19"/>
    <mergeCell ref="J17:M17"/>
    <mergeCell ref="H16:M16"/>
    <mergeCell ref="H17:I17"/>
    <mergeCell ref="A10:E10"/>
    <mergeCell ref="B18:C18"/>
    <mergeCell ref="D18:E18"/>
    <mergeCell ref="F18:G18"/>
    <mergeCell ref="A14:E14"/>
    <mergeCell ref="B16:G16"/>
    <mergeCell ref="B17:C17"/>
    <mergeCell ref="L18:M18"/>
    <mergeCell ref="H18:I18"/>
    <mergeCell ref="J18:K18"/>
  </mergeCells>
  <dataValidations count="2">
    <dataValidation type="list" allowBlank="1" showInputMessage="1" showErrorMessage="1" errorTitle="Erreur de saisie" error="Vous devez saisir une valeur dans la liste" sqref="B6">
      <formula1>lstReponse</formula1>
    </dataValidation>
    <dataValidation type="decimal" allowBlank="1" showInputMessage="1" showErrorMessage="1" errorTitle="Erreur de saisie" error="Vous devez saisir une valeur décimale" sqref="B20:M24 B83:M84 B74:M81 B69:M72 B66:M67 B54:M64 B47:M52 B43:M45 B33:M41 B26:M31">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42" firstPageNumber="0" orientation="portrait" r:id="rId1"/>
  <headerFooter alignWithMargins="0">
    <oddFooter>&amp;LRSU 2020 - Présentation au CTP&amp;R&amp;P/&amp;N
&amp;A</oddFooter>
  </headerFooter>
</worksheet>
</file>

<file path=xl/worksheets/sheet65.xml><?xml version="1.0" encoding="utf-8"?>
<worksheet xmlns="http://schemas.openxmlformats.org/spreadsheetml/2006/main" xmlns:r="http://schemas.openxmlformats.org/officeDocument/2006/relationships">
  <sheetPr codeName="Feuil57">
    <pageSetUpPr fitToPage="1"/>
  </sheetPr>
  <dimension ref="A1:C12"/>
  <sheetViews>
    <sheetView showGridLines="0" workbookViewId="0"/>
  </sheetViews>
  <sheetFormatPr baseColWidth="10" defaultColWidth="10.85546875" defaultRowHeight="12.75" customHeight="1"/>
  <cols>
    <col min="2" max="2" width="78.28515625" customWidth="1"/>
    <col min="3" max="3" width="30.85546875" customWidth="1"/>
  </cols>
  <sheetData>
    <row r="1" spans="1:3" ht="17.100000000000001" customHeight="1">
      <c r="C1" s="1073" t="s">
        <v>958</v>
      </c>
    </row>
    <row r="2" spans="1:3" ht="13.5" thickBot="1"/>
    <row r="3" spans="1:3" ht="13.5" thickBot="1">
      <c r="A3" s="2821" t="s">
        <v>758</v>
      </c>
      <c r="B3" s="2821"/>
      <c r="C3" s="2821"/>
    </row>
    <row r="5" spans="1:3">
      <c r="A5" s="149" t="s">
        <v>717</v>
      </c>
    </row>
    <row r="7" spans="1:3" ht="34.5" customHeight="1">
      <c r="A7" s="226" t="s">
        <v>910</v>
      </c>
      <c r="B7" s="711" t="s">
        <v>718</v>
      </c>
      <c r="C7" s="712">
        <v>543121085</v>
      </c>
    </row>
    <row r="8" spans="1:3" ht="26.25" customHeight="1">
      <c r="A8" s="227" t="s">
        <v>911</v>
      </c>
      <c r="B8" s="228" t="s">
        <v>719</v>
      </c>
      <c r="C8" s="713">
        <v>310540603</v>
      </c>
    </row>
    <row r="10" spans="1:3">
      <c r="A10" s="2822" t="s">
        <v>579</v>
      </c>
      <c r="B10" s="2302"/>
      <c r="C10" s="2302"/>
    </row>
    <row r="12" spans="1:3" ht="24.75" customHeight="1">
      <c r="A12" s="2823" t="s">
        <v>580</v>
      </c>
      <c r="B12" s="2748"/>
      <c r="C12" s="2748"/>
    </row>
  </sheetData>
  <sheetProtection algorithmName="SHA-512" hashValue="jGoS/W+dAU8YdCehypmQY332nHzkKO2elpL2XeA0Y7xDQOcLpm/Tucizrmq1RQh1Ogl8JrpnD3t7b4crY0JfOA==" saltValue="+L7O3wTfR/YxypTodkclcg==" spinCount="100000" sheet="1" objects="1" scenarios="1"/>
  <mergeCells count="3">
    <mergeCell ref="A3:C3"/>
    <mergeCell ref="A10:C10"/>
    <mergeCell ref="A12:C12"/>
  </mergeCells>
  <dataValidations count="1">
    <dataValidation type="whole" allowBlank="1" showInputMessage="1" showErrorMessage="1" errorTitle="Erreur de saisie" error="Vous devez saisir une valeur entière" sqref="C7:C8">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75" firstPageNumber="0" orientation="portrait" r:id="rId1"/>
  <headerFooter alignWithMargins="0">
    <oddFooter>&amp;LRSU 2020 - Présentation au CTP&amp;R&amp;P/&amp;N
&amp;A</oddFooter>
  </headerFooter>
</worksheet>
</file>

<file path=xl/worksheets/sheet66.xml><?xml version="1.0" encoding="utf-8"?>
<worksheet xmlns="http://schemas.openxmlformats.org/spreadsheetml/2006/main" xmlns:r="http://schemas.openxmlformats.org/officeDocument/2006/relationships">
  <sheetPr codeName="Feuil58">
    <pageSetUpPr fitToPage="1"/>
  </sheetPr>
  <dimension ref="A1:E35"/>
  <sheetViews>
    <sheetView showGridLines="0" zoomScaleNormal="100" workbookViewId="0"/>
  </sheetViews>
  <sheetFormatPr baseColWidth="10" defaultColWidth="10.85546875" defaultRowHeight="12.75" customHeight="1"/>
  <cols>
    <col min="1" max="1" width="63.42578125" customWidth="1"/>
    <col min="2" max="2" width="22.85546875" customWidth="1"/>
    <col min="3" max="3" width="15.42578125" customWidth="1"/>
  </cols>
  <sheetData>
    <row r="1" spans="1:4" ht="17.100000000000001" customHeight="1">
      <c r="B1" s="2245" t="s">
        <v>958</v>
      </c>
      <c r="C1" s="2245"/>
    </row>
    <row r="3" spans="1:4" ht="13.5" thickBot="1"/>
    <row r="4" spans="1:4" ht="13.5" thickBot="1">
      <c r="A4" s="2825" t="s">
        <v>1503</v>
      </c>
      <c r="B4" s="2825"/>
      <c r="C4" s="2825"/>
      <c r="D4" s="2249"/>
    </row>
    <row r="6" spans="1:4" ht="25.5" customHeight="1">
      <c r="A6" s="2824" t="s">
        <v>2386</v>
      </c>
      <c r="B6" s="2379"/>
      <c r="C6" s="2379"/>
      <c r="D6" s="2379"/>
    </row>
    <row r="8" spans="1:4" ht="24">
      <c r="B8" s="440" t="s">
        <v>2387</v>
      </c>
      <c r="C8" s="1211" t="s">
        <v>912</v>
      </c>
    </row>
    <row r="9" spans="1:4" ht="24">
      <c r="A9" s="350" t="s">
        <v>1422</v>
      </c>
      <c r="B9" s="714">
        <v>111</v>
      </c>
      <c r="C9" s="1211">
        <v>1</v>
      </c>
    </row>
    <row r="10" spans="1:4" ht="24">
      <c r="A10" s="350" t="s">
        <v>1012</v>
      </c>
      <c r="B10" s="714">
        <v>7</v>
      </c>
      <c r="C10" s="1211">
        <v>2</v>
      </c>
    </row>
    <row r="11" spans="1:4" ht="24">
      <c r="A11" s="350" t="s">
        <v>606</v>
      </c>
      <c r="B11" s="715">
        <v>2</v>
      </c>
      <c r="C11" s="1211">
        <v>3</v>
      </c>
    </row>
    <row r="12" spans="1:4">
      <c r="A12" s="925" t="s">
        <v>1449</v>
      </c>
      <c r="B12" s="715">
        <v>3</v>
      </c>
      <c r="C12" s="1211">
        <v>4</v>
      </c>
    </row>
    <row r="13" spans="1:4" ht="24">
      <c r="A13" s="350" t="s">
        <v>1407</v>
      </c>
      <c r="B13" s="715">
        <v>6</v>
      </c>
      <c r="C13" s="1211">
        <v>5</v>
      </c>
    </row>
    <row r="15" spans="1:4">
      <c r="A15" s="2826" t="s">
        <v>1876</v>
      </c>
      <c r="B15" s="2251"/>
      <c r="C15" s="2251"/>
      <c r="D15" s="2251"/>
    </row>
    <row r="16" spans="1:4" ht="27.75" customHeight="1">
      <c r="A16" s="2827" t="s">
        <v>1877</v>
      </c>
      <c r="B16" s="2828"/>
      <c r="C16" s="2828"/>
      <c r="D16" s="2828"/>
    </row>
    <row r="17" spans="1:5" ht="39.75" customHeight="1">
      <c r="A17" s="2827" t="s">
        <v>829</v>
      </c>
      <c r="B17" s="2648"/>
      <c r="C17" s="2648"/>
      <c r="D17" s="2648"/>
    </row>
    <row r="18" spans="1:5" ht="30" customHeight="1">
      <c r="A18" s="2827" t="s">
        <v>1878</v>
      </c>
      <c r="B18" s="2828"/>
      <c r="C18" s="2828"/>
      <c r="D18" s="2828"/>
    </row>
    <row r="19" spans="1:5" ht="13.5" thickBot="1"/>
    <row r="20" spans="1:5" ht="13.5" thickBot="1">
      <c r="A20" s="2825" t="s">
        <v>2548</v>
      </c>
      <c r="B20" s="2825"/>
      <c r="C20" s="2825"/>
      <c r="D20" s="2249"/>
    </row>
    <row r="22" spans="1:5" ht="25.5" customHeight="1">
      <c r="A22" s="2824" t="s">
        <v>2388</v>
      </c>
      <c r="B22" s="2379"/>
      <c r="C22" s="2379"/>
      <c r="D22" s="2379"/>
    </row>
    <row r="23" spans="1:5">
      <c r="A23" s="2423" t="s">
        <v>2111</v>
      </c>
      <c r="B23" s="2423"/>
      <c r="C23" s="2423"/>
      <c r="D23" s="2423"/>
      <c r="E23" s="1155"/>
    </row>
    <row r="25" spans="1:5" ht="36">
      <c r="B25" s="442" t="s">
        <v>1129</v>
      </c>
      <c r="C25" s="443" t="s">
        <v>913</v>
      </c>
      <c r="D25" s="440" t="s">
        <v>1319</v>
      </c>
      <c r="E25" s="1211" t="s">
        <v>1130</v>
      </c>
    </row>
    <row r="26" spans="1:5" ht="24">
      <c r="A26" s="444" t="s">
        <v>914</v>
      </c>
      <c r="B26" s="716">
        <v>0</v>
      </c>
      <c r="C26" s="635">
        <v>60</v>
      </c>
      <c r="D26" s="997">
        <v>15</v>
      </c>
      <c r="E26" s="1211">
        <v>1</v>
      </c>
    </row>
    <row r="27" spans="1:5" ht="24">
      <c r="A27" s="444" t="s">
        <v>498</v>
      </c>
      <c r="B27" s="716"/>
      <c r="C27" s="635"/>
      <c r="D27" s="997"/>
      <c r="E27" s="1211">
        <v>2</v>
      </c>
    </row>
    <row r="28" spans="1:5">
      <c r="A28" s="445" t="s">
        <v>499</v>
      </c>
      <c r="B28" s="716">
        <v>1600</v>
      </c>
      <c r="C28" s="635">
        <v>164</v>
      </c>
      <c r="D28" s="997">
        <v>58</v>
      </c>
      <c r="E28" s="1211">
        <v>3</v>
      </c>
    </row>
    <row r="29" spans="1:5" ht="24">
      <c r="A29" s="444" t="s">
        <v>500</v>
      </c>
      <c r="B29" s="717">
        <v>23750</v>
      </c>
      <c r="C29" s="446"/>
      <c r="D29" s="446"/>
      <c r="E29" s="1211">
        <v>4</v>
      </c>
    </row>
    <row r="30" spans="1:5" ht="60">
      <c r="A30" s="444" t="s">
        <v>128</v>
      </c>
      <c r="B30" s="716"/>
      <c r="C30" s="446"/>
      <c r="D30" s="446"/>
      <c r="E30" s="1211">
        <v>5</v>
      </c>
    </row>
    <row r="32" spans="1:5">
      <c r="A32" s="243" t="s">
        <v>129</v>
      </c>
    </row>
    <row r="33" spans="1:1">
      <c r="A33" s="351" t="s">
        <v>130</v>
      </c>
    </row>
    <row r="34" spans="1:1">
      <c r="A34" s="351" t="s">
        <v>1457</v>
      </c>
    </row>
    <row r="35" spans="1:1">
      <c r="A35" s="351" t="s">
        <v>875</v>
      </c>
    </row>
  </sheetData>
  <sheetProtection algorithmName="SHA-512" hashValue="QHf1DgdmUhjEbad3RBUju9CuwAmYUGmziA02YeFFuPJI1x/c6t/WMdAXN169GPbGrY0LivgukcFnsu6/8C1Bmw==" saltValue="qP0ZqgDct7NmzjUsDLfz6Q==" spinCount="100000" sheet="1" objects="1" scenarios="1"/>
  <mergeCells count="10">
    <mergeCell ref="A23:D23"/>
    <mergeCell ref="A22:D22"/>
    <mergeCell ref="B1:C1"/>
    <mergeCell ref="A20:D20"/>
    <mergeCell ref="A4:D4"/>
    <mergeCell ref="A15:D15"/>
    <mergeCell ref="A16:D16"/>
    <mergeCell ref="A17:D17"/>
    <mergeCell ref="A18:D18"/>
    <mergeCell ref="A6:D6"/>
  </mergeCells>
  <dataValidations count="1">
    <dataValidation type="whole" allowBlank="1" showInputMessage="1" showErrorMessage="1" errorTitle="Erreur de saisie" error="Vous devez saisir une valeur entière" sqref="B29:B30 B26:D28 B9:B13">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80" orientation="portrait" r:id="rId1"/>
  <headerFooter alignWithMargins="0">
    <oddFooter>&amp;LRSU 2020 - Présentation au CTP&amp;R&amp;P/&amp;N
&amp;A</oddFooter>
  </headerFooter>
</worksheet>
</file>

<file path=xl/worksheets/sheet67.xml><?xml version="1.0" encoding="utf-8"?>
<worksheet xmlns="http://schemas.openxmlformats.org/spreadsheetml/2006/main" xmlns:r="http://schemas.openxmlformats.org/officeDocument/2006/relationships">
  <sheetPr codeName="Feuil59">
    <pageSetUpPr fitToPage="1"/>
  </sheetPr>
  <dimension ref="A1:E9"/>
  <sheetViews>
    <sheetView showGridLines="0" zoomScaleNormal="100" workbookViewId="0"/>
  </sheetViews>
  <sheetFormatPr baseColWidth="10" defaultColWidth="10.85546875" defaultRowHeight="12.75" customHeight="1"/>
  <cols>
    <col min="2" max="2" width="63.42578125" customWidth="1"/>
  </cols>
  <sheetData>
    <row r="1" spans="1:5" ht="17.100000000000001" customHeight="1">
      <c r="B1" s="1073" t="s">
        <v>958</v>
      </c>
    </row>
    <row r="3" spans="1:5" ht="13.5" thickBot="1"/>
    <row r="4" spans="1:5" ht="13.5" thickBot="1">
      <c r="A4" s="2678" t="s">
        <v>1504</v>
      </c>
      <c r="B4" s="2678"/>
      <c r="C4" s="2678"/>
      <c r="D4" s="2476"/>
    </row>
    <row r="6" spans="1:5">
      <c r="A6" s="2830" t="s">
        <v>2030</v>
      </c>
      <c r="B6" s="2379"/>
      <c r="C6" s="2379"/>
    </row>
    <row r="7" spans="1:5" ht="18" customHeight="1">
      <c r="C7" s="838" t="s">
        <v>707</v>
      </c>
      <c r="D7" s="838" t="s">
        <v>708</v>
      </c>
    </row>
    <row r="8" spans="1:5" ht="17.25" customHeight="1">
      <c r="A8" s="2829" t="s">
        <v>2427</v>
      </c>
      <c r="B8" s="2829"/>
      <c r="C8" s="1061">
        <v>77</v>
      </c>
      <c r="D8" s="1061">
        <v>190</v>
      </c>
    </row>
    <row r="9" spans="1:5" ht="12.75" customHeight="1">
      <c r="C9" s="1235">
        <v>1</v>
      </c>
      <c r="D9" s="1235">
        <v>2</v>
      </c>
      <c r="E9" s="1235" t="s">
        <v>1307</v>
      </c>
    </row>
  </sheetData>
  <sheetProtection algorithmName="SHA-512" hashValue="Py/CJ2cQsYU+3l8sZmJZuPgo3W3YU/Yjrrw8zcd9fLvZrPvvzdBkMC0AbdUtv8/Yok/OMlNdruu2SmMeJYAxQA==" saltValue="9D9LDbyuQdC46bpjE7hdWQ==" spinCount="100000" sheet="1" objects="1" scenarios="1"/>
  <mergeCells count="3">
    <mergeCell ref="A8:B8"/>
    <mergeCell ref="A6:C6"/>
    <mergeCell ref="A4:D4"/>
  </mergeCells>
  <dataValidations xWindow="32507" yWindow="15503" count="1">
    <dataValidation type="whole" allowBlank="1" showInputMessage="1" showErrorMessage="1" errorTitle="Erreur de saisie" error="Vous devez saisir une valeur entière" sqref="C8:D8">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96" firstPageNumber="0" orientation="portrait" r:id="rId1"/>
  <headerFooter alignWithMargins="0">
    <oddFooter>&amp;LRSU 2020 - Présentation au CTP&amp;R&amp;P/&amp;N
&amp;A</oddFooter>
  </headerFooter>
</worksheet>
</file>

<file path=xl/worksheets/sheet68.xml><?xml version="1.0" encoding="utf-8"?>
<worksheet xmlns="http://schemas.openxmlformats.org/spreadsheetml/2006/main" xmlns:r="http://schemas.openxmlformats.org/officeDocument/2006/relationships">
  <sheetPr codeName="Feuil60">
    <pageSetUpPr fitToPage="1"/>
  </sheetPr>
  <dimension ref="A1:H12"/>
  <sheetViews>
    <sheetView showGridLines="0" zoomScaleNormal="85" workbookViewId="0"/>
  </sheetViews>
  <sheetFormatPr baseColWidth="10" defaultColWidth="10.85546875" defaultRowHeight="12.75" customHeight="1"/>
  <sheetData>
    <row r="1" spans="1:8">
      <c r="A1" s="1094"/>
      <c r="B1" s="1094"/>
      <c r="C1" s="1094"/>
      <c r="D1" s="2245" t="s">
        <v>958</v>
      </c>
      <c r="E1" s="2245"/>
      <c r="F1" s="1094"/>
      <c r="G1" s="1093"/>
      <c r="H1" s="1093"/>
    </row>
    <row r="2" spans="1:8" ht="13.5" thickBot="1"/>
    <row r="3" spans="1:8" ht="21" customHeight="1" thickBot="1">
      <c r="A3" s="2273" t="s">
        <v>799</v>
      </c>
      <c r="B3" s="2273"/>
      <c r="C3" s="2273"/>
      <c r="D3" s="2273"/>
      <c r="E3" s="2273"/>
      <c r="F3" s="2273"/>
      <c r="G3" s="2273"/>
      <c r="H3" s="2273"/>
    </row>
    <row r="6" spans="1:8" ht="77.25" customHeight="1">
      <c r="A6" s="2832" t="s">
        <v>1889</v>
      </c>
      <c r="B6" s="2832"/>
      <c r="C6" s="2832"/>
      <c r="D6" s="2832"/>
      <c r="E6" s="2832"/>
      <c r="F6" s="2832"/>
      <c r="G6" s="2832"/>
      <c r="H6" s="2832"/>
    </row>
    <row r="7" spans="1:8" ht="12.95" customHeight="1">
      <c r="A7" s="1144"/>
      <c r="B7" s="1145"/>
      <c r="C7" s="1145"/>
      <c r="D7" s="1145"/>
      <c r="E7" s="1145"/>
      <c r="F7" s="1145"/>
      <c r="G7" s="1145"/>
      <c r="H7" s="1145"/>
    </row>
    <row r="8" spans="1:8" ht="122.25" customHeight="1">
      <c r="A8" s="2832" t="s">
        <v>626</v>
      </c>
      <c r="B8" s="2832"/>
      <c r="C8" s="2832"/>
      <c r="D8" s="2832"/>
      <c r="E8" s="2832"/>
      <c r="F8" s="2832"/>
      <c r="G8" s="2832"/>
      <c r="H8" s="2832"/>
    </row>
    <row r="9" spans="1:8" ht="12.95" customHeight="1"/>
    <row r="10" spans="1:8" ht="65.25" customHeight="1">
      <c r="A10" s="2832" t="s">
        <v>627</v>
      </c>
      <c r="B10" s="2832"/>
      <c r="C10" s="2832"/>
      <c r="D10" s="2832"/>
      <c r="E10" s="2832"/>
      <c r="F10" s="2832"/>
      <c r="G10" s="2832"/>
      <c r="H10" s="2832"/>
    </row>
    <row r="11" spans="1:8" ht="81" customHeight="1">
      <c r="A11" s="2831" t="s">
        <v>39</v>
      </c>
      <c r="B11" s="2831"/>
      <c r="C11" s="2831"/>
      <c r="D11" s="2831"/>
      <c r="E11" s="2831"/>
      <c r="F11" s="2831"/>
      <c r="G11" s="2831"/>
      <c r="H11" s="2831"/>
    </row>
    <row r="12" spans="1:8" ht="105.75" customHeight="1">
      <c r="A12" s="2831" t="s">
        <v>339</v>
      </c>
      <c r="B12" s="2831"/>
      <c r="C12" s="2831"/>
      <c r="D12" s="2831"/>
      <c r="E12" s="2831"/>
      <c r="F12" s="2831"/>
      <c r="G12" s="2831"/>
      <c r="H12" s="2831"/>
    </row>
  </sheetData>
  <sheetProtection algorithmName="SHA-512" hashValue="e3tl+MwZsDGQ4G6UkFQHMYg1d8Cw1ZPizJw/wGOMLxVIubbgXeeTnmOYnY7pZCDBH8WmR6TAcu+gUW1gF2iJPQ==" saltValue="90e1LSNEOkKbUouSgAPhFw==" spinCount="100000" sheet="1" objects="1" scenarios="1"/>
  <mergeCells count="7">
    <mergeCell ref="A12:H12"/>
    <mergeCell ref="D1:E1"/>
    <mergeCell ref="A3:H3"/>
    <mergeCell ref="A6:H6"/>
    <mergeCell ref="A8:H8"/>
    <mergeCell ref="A10:H10"/>
    <mergeCell ref="A11:H11"/>
  </mergeCell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firstPageNumber="0" orientation="portrait" r:id="rId1"/>
  <headerFooter alignWithMargins="0">
    <oddFooter>&amp;LRSU 2020 - Présentation au CTP&amp;R&amp;P/&amp;N
&amp;A</oddFooter>
  </headerFooter>
</worksheet>
</file>

<file path=xl/worksheets/sheet69.xml><?xml version="1.0" encoding="utf-8"?>
<worksheet xmlns="http://schemas.openxmlformats.org/spreadsheetml/2006/main" xmlns:r="http://schemas.openxmlformats.org/officeDocument/2006/relationships">
  <sheetPr codeName="Feuil61">
    <pageSetUpPr fitToPage="1"/>
  </sheetPr>
  <dimension ref="A1:F47"/>
  <sheetViews>
    <sheetView showGridLines="0" topLeftCell="A2" workbookViewId="0"/>
  </sheetViews>
  <sheetFormatPr baseColWidth="10" defaultColWidth="10.85546875" defaultRowHeight="12.75" customHeight="1"/>
  <cols>
    <col min="5" max="5" width="54" customWidth="1"/>
    <col min="6" max="6" width="28.140625" bestFit="1" customWidth="1"/>
  </cols>
  <sheetData>
    <row r="1" spans="1:6" ht="17.100000000000001" customHeight="1">
      <c r="E1" s="1073" t="s">
        <v>958</v>
      </c>
    </row>
    <row r="2" spans="1:6" ht="13.5" thickBot="1"/>
    <row r="3" spans="1:6" ht="13.5" thickBot="1">
      <c r="A3" s="2834" t="s">
        <v>923</v>
      </c>
      <c r="B3" s="2476"/>
      <c r="C3" s="2476"/>
      <c r="D3" s="2476"/>
      <c r="E3" s="2476"/>
      <c r="F3" s="2476"/>
    </row>
    <row r="5" spans="1:6" ht="13.5" thickBot="1"/>
    <row r="6" spans="1:6" ht="13.5" thickBot="1">
      <c r="A6" s="2834" t="s">
        <v>2238</v>
      </c>
      <c r="B6" s="2464"/>
      <c r="C6" s="2464"/>
      <c r="D6" s="2464"/>
      <c r="E6" s="2464"/>
      <c r="F6" s="2464"/>
    </row>
    <row r="9" spans="1:6">
      <c r="A9" s="552" t="s">
        <v>2389</v>
      </c>
      <c r="B9" s="553"/>
      <c r="C9" s="553"/>
      <c r="D9" s="553"/>
      <c r="E9" s="554"/>
      <c r="F9" s="636" t="s">
        <v>1124</v>
      </c>
    </row>
    <row r="10" spans="1:6">
      <c r="A10" s="197" t="s">
        <v>165</v>
      </c>
      <c r="B10" s="149"/>
      <c r="C10" s="149"/>
      <c r="D10" s="149"/>
      <c r="E10" s="149"/>
      <c r="F10" s="149"/>
    </row>
    <row r="11" spans="1:6">
      <c r="A11" s="2836" t="s">
        <v>166</v>
      </c>
      <c r="B11" s="2837"/>
      <c r="C11" s="2837"/>
      <c r="D11" s="2837"/>
      <c r="E11" s="2837"/>
      <c r="F11" s="718">
        <v>2006</v>
      </c>
    </row>
    <row r="12" spans="1:6">
      <c r="A12" s="2838" t="s">
        <v>2269</v>
      </c>
      <c r="B12" s="2838"/>
      <c r="C12" s="2838"/>
      <c r="D12" s="2838"/>
      <c r="E12" s="2838"/>
      <c r="F12" s="718">
        <v>2020</v>
      </c>
    </row>
    <row r="14" spans="1:6" ht="106.5" customHeight="1">
      <c r="A14" s="2835" t="s">
        <v>1879</v>
      </c>
      <c r="B14" s="2835"/>
      <c r="C14" s="2835"/>
      <c r="D14" s="2835"/>
      <c r="E14" s="2835"/>
      <c r="F14" s="2835"/>
    </row>
    <row r="15" spans="1:6" ht="13.5" thickBot="1"/>
    <row r="16" spans="1:6" ht="13.5" thickBot="1">
      <c r="A16" s="2834" t="s">
        <v>2239</v>
      </c>
      <c r="B16" s="2464"/>
      <c r="C16" s="2464"/>
      <c r="D16" s="2464"/>
      <c r="E16" s="2464"/>
      <c r="F16" s="2464"/>
    </row>
    <row r="19" spans="1:6">
      <c r="A19" s="552" t="s">
        <v>2390</v>
      </c>
      <c r="B19" s="553"/>
      <c r="C19" s="553"/>
      <c r="D19" s="553"/>
      <c r="E19" s="554"/>
      <c r="F19" s="636" t="s">
        <v>1124</v>
      </c>
    </row>
    <row r="23" spans="1:6" ht="13.5" thickBot="1"/>
    <row r="24" spans="1:6" ht="13.5" thickBot="1">
      <c r="A24" s="2834" t="s">
        <v>2240</v>
      </c>
      <c r="B24" s="2464"/>
      <c r="C24" s="2464"/>
      <c r="D24" s="2464"/>
      <c r="E24" s="2464"/>
      <c r="F24" s="2464"/>
    </row>
    <row r="27" spans="1:6">
      <c r="A27" s="149" t="s">
        <v>2549</v>
      </c>
    </row>
    <row r="29" spans="1:6">
      <c r="A29" s="552" t="s">
        <v>152</v>
      </c>
      <c r="B29" s="553"/>
      <c r="C29" s="553"/>
      <c r="D29" s="553"/>
      <c r="E29" s="554"/>
      <c r="F29" s="636" t="s">
        <v>1124</v>
      </c>
    </row>
    <row r="30" spans="1:6">
      <c r="A30" s="552" t="s">
        <v>2182</v>
      </c>
      <c r="B30" s="553"/>
      <c r="C30" s="553"/>
      <c r="D30" s="553"/>
      <c r="E30" s="554"/>
      <c r="F30" s="636" t="s">
        <v>1124</v>
      </c>
    </row>
    <row r="31" spans="1:6">
      <c r="A31" s="552" t="s">
        <v>2183</v>
      </c>
      <c r="B31" s="555"/>
      <c r="C31" s="553"/>
      <c r="D31" s="553"/>
      <c r="E31" s="554"/>
      <c r="F31" s="636" t="s">
        <v>1124</v>
      </c>
    </row>
    <row r="34" spans="1:6" ht="13.5" thickBot="1"/>
    <row r="35" spans="1:6" ht="13.5" thickBot="1">
      <c r="A35" s="2834" t="s">
        <v>2241</v>
      </c>
      <c r="B35" s="2464"/>
      <c r="C35" s="2464"/>
      <c r="D35" s="2464"/>
      <c r="E35" s="2464"/>
      <c r="F35" s="2464"/>
    </row>
    <row r="38" spans="1:6">
      <c r="A38" s="552" t="s">
        <v>2391</v>
      </c>
      <c r="B38" s="553"/>
      <c r="C38" s="553"/>
      <c r="D38" s="553"/>
      <c r="E38" s="554"/>
      <c r="F38" s="636" t="s">
        <v>1124</v>
      </c>
    </row>
    <row r="41" spans="1:6">
      <c r="A41" s="2833" t="s">
        <v>766</v>
      </c>
      <c r="B41" s="2833"/>
      <c r="C41" s="2833"/>
      <c r="D41" s="2833"/>
      <c r="E41" s="2833"/>
      <c r="F41" s="2833"/>
    </row>
    <row r="42" spans="1:6">
      <c r="A42" s="2833"/>
      <c r="B42" s="2833"/>
      <c r="C42" s="2833"/>
      <c r="D42" s="2833"/>
      <c r="E42" s="2833"/>
      <c r="F42" s="2833"/>
    </row>
    <row r="43" spans="1:6">
      <c r="A43" s="2833"/>
      <c r="B43" s="2833"/>
      <c r="C43" s="2833"/>
      <c r="D43" s="2833"/>
      <c r="E43" s="2833"/>
      <c r="F43" s="2833"/>
    </row>
    <row r="44" spans="1:6">
      <c r="A44" s="2833"/>
      <c r="B44" s="2833"/>
      <c r="C44" s="2833"/>
      <c r="D44" s="2833"/>
      <c r="E44" s="2833"/>
      <c r="F44" s="2833"/>
    </row>
    <row r="45" spans="1:6">
      <c r="A45" s="2833"/>
      <c r="B45" s="2833"/>
      <c r="C45" s="2833"/>
      <c r="D45" s="2833"/>
      <c r="E45" s="2833"/>
      <c r="F45" s="2833"/>
    </row>
    <row r="46" spans="1:6">
      <c r="A46" s="2833"/>
      <c r="B46" s="2833"/>
      <c r="C46" s="2833"/>
      <c r="D46" s="2833"/>
      <c r="E46" s="2833"/>
      <c r="F46" s="2833"/>
    </row>
    <row r="47" spans="1:6">
      <c r="A47" s="2833"/>
      <c r="B47" s="2833"/>
      <c r="C47" s="2833"/>
      <c r="D47" s="2833"/>
      <c r="E47" s="2833"/>
      <c r="F47" s="2833"/>
    </row>
  </sheetData>
  <sheetProtection algorithmName="SHA-512" hashValue="T54UJQ53uIsD8AjcQHNop9KoTl9jwyJU2A4TcUCabHzAxeG0Mz/QS/gUCXglKFDS8E+eWfdELpIZ112z4uJSQQ==" saltValue="lWMO0e4v05j5KmLzHFxMPA==" spinCount="100000" sheet="1" objects="1" scenarios="1"/>
  <mergeCells count="9">
    <mergeCell ref="A41:F47"/>
    <mergeCell ref="A35:F35"/>
    <mergeCell ref="A3:F3"/>
    <mergeCell ref="A6:F6"/>
    <mergeCell ref="A16:F16"/>
    <mergeCell ref="A24:F24"/>
    <mergeCell ref="A14:F14"/>
    <mergeCell ref="A11:E11"/>
    <mergeCell ref="A12:E12"/>
  </mergeCells>
  <dataValidations count="2">
    <dataValidation type="list" allowBlank="1" showInputMessage="1" showErrorMessage="1" errorTitle="Erreur de saisie" error="Vous devez saisir une valeur dans la liste" sqref="F9 F29:F31 F19 F38">
      <formula1>lstReponse2</formula1>
    </dataValidation>
    <dataValidation type="whole" allowBlank="1" showInputMessage="1" showErrorMessage="1" errorTitle="Erreur de saisie" error="Vous devez saisir une valeur entre 1990 et 2030" sqref="F11:F12">
      <formula1>1990</formula1>
      <formula2>2030</formula2>
    </dataValidation>
  </dataValidations>
  <hyperlinks>
    <hyperlink ref="E1" location="Sommaire!A1" display="Retour Sommaire"/>
  </hyperlinks>
  <printOptions horizontalCentered="1"/>
  <pageMargins left="0.59055118110236227" right="0.59055118110236227" top="0.59055118110236227" bottom="0.59055118110236227" header="0.51181102362204722" footer="0.27559055118110237"/>
  <pageSetup paperSize="9" scale="72" orientation="portrait" r:id="rId1"/>
  <headerFooter alignWithMargins="0">
    <oddFooter>&amp;LRSU 2020 - Présentation au CTP&amp;R&amp;P/&amp;N
&amp;A</oddFooter>
  </headerFooter>
</worksheet>
</file>

<file path=xl/worksheets/sheet7.xml><?xml version="1.0" encoding="utf-8"?>
<worksheet xmlns="http://schemas.openxmlformats.org/spreadsheetml/2006/main" xmlns:r="http://schemas.openxmlformats.org/officeDocument/2006/relationships">
  <sheetPr codeName="Feuil33">
    <tabColor theme="8" tint="-0.249977111117893"/>
  </sheetPr>
  <dimension ref="A1"/>
  <sheetViews>
    <sheetView workbookViewId="0"/>
  </sheetViews>
  <sheetFormatPr baseColWidth="10" defaultColWidth="9.140625" defaultRowHeight="15"/>
  <cols>
    <col min="1" max="16384" width="9.140625" style="1293" collapsed="1"/>
  </cols>
  <sheetData/>
  <pageMargins left="0.7" right="0.7" top="0.75" bottom="0.75" header="0.3" footer="0.3"/>
</worksheet>
</file>

<file path=xl/worksheets/sheet70.xml><?xml version="1.0" encoding="utf-8"?>
<worksheet xmlns="http://schemas.openxmlformats.org/spreadsheetml/2006/main" xmlns:r="http://schemas.openxmlformats.org/officeDocument/2006/relationships">
  <sheetPr codeName="Feuil62">
    <pageSetUpPr fitToPage="1"/>
  </sheetPr>
  <dimension ref="A1:O104"/>
  <sheetViews>
    <sheetView showGridLines="0" workbookViewId="0">
      <pane ySplit="23" topLeftCell="A24" activePane="bottomLeft" state="frozen"/>
      <selection activeCell="H29" sqref="H29:AB29"/>
      <selection pane="bottomLeft"/>
    </sheetView>
  </sheetViews>
  <sheetFormatPr baseColWidth="10" defaultColWidth="3.7109375" defaultRowHeight="12.75" customHeight="1"/>
  <cols>
    <col min="1" max="1" width="3.7109375" customWidth="1"/>
    <col min="2" max="2" width="36.28515625" customWidth="1"/>
    <col min="3" max="3" width="8.7109375" customWidth="1"/>
    <col min="4" max="4" width="10" customWidth="1"/>
    <col min="5" max="5" width="8.85546875" customWidth="1"/>
    <col min="6" max="6" width="9.28515625" customWidth="1"/>
    <col min="7" max="7" width="8.42578125" customWidth="1"/>
    <col min="8" max="8" width="8.28515625" customWidth="1"/>
    <col min="9" max="9" width="9.42578125" customWidth="1"/>
    <col min="10" max="10" width="8.42578125" customWidth="1"/>
    <col min="11" max="11" width="8.85546875" customWidth="1"/>
    <col min="12" max="12" width="8.140625" customWidth="1"/>
    <col min="13" max="13" width="8.7109375" customWidth="1"/>
    <col min="14" max="14" width="9.28515625" customWidth="1"/>
    <col min="15" max="15" width="11.42578125" customWidth="1"/>
    <col min="16" max="248" width="3.7109375" customWidth="1"/>
  </cols>
  <sheetData>
    <row r="1" spans="1:15" ht="15" customHeight="1">
      <c r="D1" s="2839" t="s">
        <v>958</v>
      </c>
      <c r="E1" s="2840"/>
      <c r="F1" s="2840"/>
      <c r="G1" s="2840"/>
      <c r="H1" s="2840"/>
    </row>
    <row r="2" spans="1:15" ht="21" customHeight="1" thickBot="1"/>
    <row r="3" spans="1:15" ht="52.5" customHeight="1" thickBot="1">
      <c r="A3" s="2628" t="s">
        <v>2550</v>
      </c>
      <c r="B3" s="2628"/>
      <c r="C3" s="2628"/>
      <c r="D3" s="2628"/>
      <c r="E3" s="2628"/>
      <c r="F3" s="2628"/>
      <c r="G3" s="2628"/>
      <c r="H3" s="2628"/>
      <c r="I3" s="2628"/>
      <c r="J3" s="2628"/>
      <c r="K3" s="2628"/>
      <c r="L3" s="2628"/>
      <c r="M3" s="2628"/>
      <c r="N3" s="2628"/>
      <c r="O3" s="218"/>
    </row>
    <row r="5" spans="1:15" ht="12.75" customHeight="1">
      <c r="A5" s="2841" t="s">
        <v>2551</v>
      </c>
      <c r="B5" s="2842"/>
      <c r="C5" s="2842"/>
      <c r="D5" s="2842"/>
      <c r="E5" s="2842"/>
      <c r="F5" s="2842"/>
      <c r="G5" s="2842"/>
      <c r="H5" s="2842"/>
      <c r="I5" s="2842"/>
      <c r="J5" s="2842"/>
      <c r="K5" s="2842"/>
      <c r="L5" s="2842"/>
      <c r="M5" s="2842"/>
      <c r="N5" s="2842"/>
      <c r="O5" s="219"/>
    </row>
    <row r="6" spans="1:15" ht="12.75" customHeight="1">
      <c r="A6" s="2855" t="s">
        <v>1454</v>
      </c>
      <c r="B6" s="2855"/>
      <c r="C6" s="2855"/>
      <c r="D6" s="2855"/>
      <c r="E6" s="2855"/>
      <c r="F6" s="2855"/>
      <c r="G6" s="2855"/>
      <c r="H6" s="2855"/>
      <c r="I6" s="2855"/>
      <c r="J6" s="2855"/>
      <c r="K6" s="2855"/>
      <c r="L6" s="2855"/>
      <c r="M6" s="2855"/>
      <c r="N6" s="2855"/>
      <c r="O6" s="219"/>
    </row>
    <row r="8" spans="1:15" ht="12.75" customHeight="1">
      <c r="A8" s="2843" t="s">
        <v>1455</v>
      </c>
      <c r="B8" s="2844"/>
      <c r="C8" s="2844"/>
      <c r="D8" s="2844"/>
      <c r="E8" s="2844"/>
      <c r="F8" s="2844"/>
      <c r="G8" s="2844"/>
      <c r="H8" s="2844"/>
      <c r="I8" s="2844"/>
      <c r="J8" s="2844"/>
      <c r="K8" s="2844"/>
      <c r="L8" s="2844"/>
      <c r="M8" s="2844"/>
      <c r="N8" s="2844"/>
      <c r="O8" s="219"/>
    </row>
    <row r="10" spans="1:15" ht="12.75" customHeight="1">
      <c r="A10" s="2853" t="s">
        <v>2552</v>
      </c>
      <c r="B10" s="2854"/>
      <c r="C10" s="2849">
        <f>'IND 1.1.4'!C72*1820+'IND 1.1.4'!D72*1820+'IND 1.2.4'!C71*1820+'IND 1.2.4'!D71*1820+'IND 1.3.1'!F83*1820</f>
        <v>10730537.999999998</v>
      </c>
      <c r="D10" s="2850"/>
      <c r="G10" s="2856" t="s">
        <v>340</v>
      </c>
      <c r="H10" s="2379"/>
      <c r="I10" s="2379"/>
      <c r="J10" s="2379"/>
      <c r="K10" s="2857"/>
      <c r="L10" s="2845"/>
      <c r="M10" s="2846"/>
    </row>
    <row r="11" spans="1:15" ht="12.75" customHeight="1">
      <c r="A11" s="2854"/>
      <c r="B11" s="2854"/>
      <c r="C11" s="2851"/>
      <c r="D11" s="2852"/>
      <c r="G11" s="2379"/>
      <c r="H11" s="2379"/>
      <c r="I11" s="2379"/>
      <c r="J11" s="2379"/>
      <c r="K11" s="2857"/>
      <c r="L11" s="2847"/>
      <c r="M11" s="2848"/>
    </row>
    <row r="12" spans="1:15" ht="12.75" customHeight="1">
      <c r="C12" s="1074"/>
    </row>
    <row r="14" spans="1:15">
      <c r="A14" s="2860" t="s">
        <v>2428</v>
      </c>
      <c r="B14" s="2861"/>
      <c r="C14" s="2861"/>
      <c r="D14" s="2861"/>
      <c r="E14" s="2861"/>
      <c r="F14" s="2861"/>
      <c r="G14" s="2861"/>
      <c r="H14" s="2862"/>
      <c r="I14" s="743" t="s">
        <v>1124</v>
      </c>
    </row>
    <row r="15" spans="1:15" ht="25.5" customHeight="1"/>
    <row r="16" spans="1:15" ht="12.75" customHeight="1" thickBot="1">
      <c r="A16" s="2863" t="s">
        <v>1456</v>
      </c>
      <c r="B16" s="2864"/>
      <c r="C16" s="1225">
        <v>10</v>
      </c>
      <c r="D16" s="1225">
        <v>10</v>
      </c>
      <c r="E16" s="1225">
        <v>11</v>
      </c>
      <c r="F16" s="1225">
        <v>11</v>
      </c>
      <c r="G16" s="1225">
        <v>20</v>
      </c>
      <c r="H16" s="1225">
        <v>20</v>
      </c>
      <c r="I16" s="1225">
        <v>21</v>
      </c>
      <c r="J16" s="1225">
        <v>21</v>
      </c>
      <c r="K16" s="1225">
        <v>10</v>
      </c>
      <c r="L16" s="1225">
        <v>10</v>
      </c>
      <c r="M16" s="1225">
        <v>20</v>
      </c>
      <c r="N16" s="1225">
        <v>20</v>
      </c>
      <c r="O16" s="1225" t="s">
        <v>57</v>
      </c>
    </row>
    <row r="17" spans="1:15" ht="42.75" customHeight="1" thickBot="1">
      <c r="A17" s="2872" t="s">
        <v>2272</v>
      </c>
      <c r="B17" s="2873"/>
      <c r="C17" s="2892" t="s">
        <v>2553</v>
      </c>
      <c r="D17" s="2893"/>
      <c r="E17" s="2893"/>
      <c r="F17" s="2893"/>
      <c r="G17" s="2893"/>
      <c r="H17" s="2893"/>
      <c r="I17" s="2893"/>
      <c r="J17" s="2894"/>
      <c r="K17" s="2883" t="s">
        <v>2554</v>
      </c>
      <c r="L17" s="2884"/>
      <c r="M17" s="2884"/>
      <c r="N17" s="2885"/>
    </row>
    <row r="18" spans="1:15" ht="18" customHeight="1" thickBot="1">
      <c r="A18" s="2874"/>
      <c r="B18" s="2875"/>
      <c r="C18" s="2865" t="s">
        <v>1440</v>
      </c>
      <c r="D18" s="2866"/>
      <c r="E18" s="2866"/>
      <c r="F18" s="2867"/>
      <c r="G18" s="2865" t="s">
        <v>1441</v>
      </c>
      <c r="H18" s="2897"/>
      <c r="I18" s="2897"/>
      <c r="J18" s="2898"/>
      <c r="K18" s="2890" t="s">
        <v>1446</v>
      </c>
      <c r="L18" s="2886"/>
      <c r="M18" s="2886" t="s">
        <v>1447</v>
      </c>
      <c r="N18" s="2887"/>
    </row>
    <row r="19" spans="1:15" ht="38.25" customHeight="1" thickBot="1">
      <c r="A19" s="2874"/>
      <c r="B19" s="2875"/>
      <c r="C19" s="2895" t="s">
        <v>1442</v>
      </c>
      <c r="D19" s="2896"/>
      <c r="E19" s="2896" t="s">
        <v>1443</v>
      </c>
      <c r="F19" s="2896"/>
      <c r="G19" s="2858" t="s">
        <v>1444</v>
      </c>
      <c r="H19" s="2868"/>
      <c r="I19" s="2899" t="s">
        <v>1445</v>
      </c>
      <c r="J19" s="2898"/>
      <c r="K19" s="2891"/>
      <c r="L19" s="2888"/>
      <c r="M19" s="2888"/>
      <c r="N19" s="2889"/>
    </row>
    <row r="20" spans="1:15" ht="15" customHeight="1">
      <c r="A20" s="2874"/>
      <c r="B20" s="2875"/>
      <c r="C20" s="2858" t="s">
        <v>707</v>
      </c>
      <c r="D20" s="2868" t="s">
        <v>708</v>
      </c>
      <c r="E20" s="2868" t="s">
        <v>707</v>
      </c>
      <c r="F20" s="2870" t="s">
        <v>708</v>
      </c>
      <c r="G20" s="2858" t="s">
        <v>707</v>
      </c>
      <c r="H20" s="2902" t="s">
        <v>708</v>
      </c>
      <c r="I20" s="2902" t="s">
        <v>707</v>
      </c>
      <c r="J20" s="2900" t="s">
        <v>708</v>
      </c>
      <c r="K20" s="2858" t="s">
        <v>707</v>
      </c>
      <c r="L20" s="2902" t="s">
        <v>708</v>
      </c>
      <c r="M20" s="2902" t="s">
        <v>707</v>
      </c>
      <c r="N20" s="2900" t="s">
        <v>708</v>
      </c>
    </row>
    <row r="21" spans="1:15" ht="7.5" customHeight="1" thickBot="1">
      <c r="A21" s="2876"/>
      <c r="B21" s="2877"/>
      <c r="C21" s="2859"/>
      <c r="D21" s="2869"/>
      <c r="E21" s="2869"/>
      <c r="F21" s="2871"/>
      <c r="G21" s="2859"/>
      <c r="H21" s="2903"/>
      <c r="I21" s="2903"/>
      <c r="J21" s="2901"/>
      <c r="K21" s="2859"/>
      <c r="L21" s="2903"/>
      <c r="M21" s="2903"/>
      <c r="N21" s="2901"/>
    </row>
    <row r="22" spans="1:15" ht="4.5" hidden="1" customHeight="1" thickBot="1">
      <c r="A22" s="239"/>
      <c r="B22" s="240"/>
      <c r="C22" s="239"/>
      <c r="D22" s="239"/>
      <c r="E22" s="239"/>
      <c r="F22" s="239"/>
      <c r="G22" s="239"/>
      <c r="H22" s="239"/>
      <c r="I22" s="239"/>
      <c r="J22" s="239"/>
      <c r="K22" s="239"/>
      <c r="L22" s="239"/>
      <c r="M22" s="239"/>
      <c r="N22" s="239"/>
      <c r="O22" s="198"/>
    </row>
    <row r="23" spans="1:15" ht="28.5" hidden="1" customHeight="1">
      <c r="A23" s="381"/>
      <c r="B23" s="381"/>
      <c r="C23" s="381" t="s">
        <v>167</v>
      </c>
      <c r="D23" s="381" t="s">
        <v>168</v>
      </c>
      <c r="E23" s="381"/>
      <c r="F23" s="381"/>
      <c r="G23" s="381" t="s">
        <v>169</v>
      </c>
      <c r="H23" s="381"/>
      <c r="I23" s="381"/>
      <c r="J23" s="381"/>
      <c r="K23" s="381"/>
      <c r="L23" s="381"/>
      <c r="M23" s="381" t="s">
        <v>170</v>
      </c>
      <c r="N23" s="381" t="s">
        <v>171</v>
      </c>
      <c r="O23" s="220"/>
    </row>
    <row r="24" spans="1:15" ht="15" customHeight="1">
      <c r="C24" s="1225">
        <v>1</v>
      </c>
      <c r="D24" s="1225">
        <v>2</v>
      </c>
      <c r="E24" s="1225">
        <v>1</v>
      </c>
      <c r="F24" s="1225">
        <v>2</v>
      </c>
      <c r="G24" s="1225">
        <v>1</v>
      </c>
      <c r="H24" s="1225">
        <v>2</v>
      </c>
      <c r="I24" s="1225">
        <v>1</v>
      </c>
      <c r="J24" s="1225">
        <v>2</v>
      </c>
      <c r="K24" s="1225">
        <v>1</v>
      </c>
      <c r="L24" s="1225">
        <v>2</v>
      </c>
      <c r="M24" s="1225">
        <v>1</v>
      </c>
      <c r="N24" s="1225">
        <v>2</v>
      </c>
      <c r="O24" s="1226" t="s">
        <v>1217</v>
      </c>
    </row>
    <row r="25" spans="1:15" ht="15" customHeight="1">
      <c r="A25" s="2878" t="s">
        <v>703</v>
      </c>
      <c r="B25" s="2879"/>
      <c r="C25" s="682"/>
      <c r="D25" s="682"/>
      <c r="E25" s="682"/>
      <c r="F25" s="682"/>
      <c r="G25" s="682"/>
      <c r="H25" s="682"/>
      <c r="I25" s="638"/>
      <c r="J25" s="638"/>
      <c r="K25" s="638"/>
      <c r="L25" s="638"/>
      <c r="M25" s="638"/>
      <c r="N25" s="638"/>
      <c r="O25" s="1253" t="s">
        <v>1925</v>
      </c>
    </row>
    <row r="26" spans="1:15" ht="15" customHeight="1">
      <c r="A26" s="2878" t="s">
        <v>704</v>
      </c>
      <c r="B26" s="2879"/>
      <c r="C26" s="682">
        <v>0</v>
      </c>
      <c r="D26" s="682">
        <v>1</v>
      </c>
      <c r="E26" s="682">
        <v>0</v>
      </c>
      <c r="F26" s="682">
        <v>1</v>
      </c>
      <c r="G26" s="682">
        <v>0</v>
      </c>
      <c r="H26" s="682">
        <v>0</v>
      </c>
      <c r="I26" s="638">
        <v>0</v>
      </c>
      <c r="J26" s="638">
        <v>0</v>
      </c>
      <c r="K26" s="638">
        <v>0</v>
      </c>
      <c r="L26" s="638">
        <v>0</v>
      </c>
      <c r="M26" s="638">
        <v>0</v>
      </c>
      <c r="N26" s="638">
        <v>0</v>
      </c>
      <c r="O26" s="1253" t="s">
        <v>1935</v>
      </c>
    </row>
    <row r="27" spans="1:15" ht="15" customHeight="1">
      <c r="A27" s="2880" t="s">
        <v>1382</v>
      </c>
      <c r="B27" s="2879"/>
      <c r="C27" s="682"/>
      <c r="D27" s="682"/>
      <c r="E27" s="682"/>
      <c r="F27" s="682"/>
      <c r="G27" s="682"/>
      <c r="H27" s="682"/>
      <c r="I27" s="638"/>
      <c r="J27" s="638"/>
      <c r="K27" s="638"/>
      <c r="L27" s="638"/>
      <c r="M27" s="638"/>
      <c r="N27" s="638"/>
      <c r="O27" s="1253" t="s">
        <v>1939</v>
      </c>
    </row>
    <row r="28" spans="1:15" ht="15" customHeight="1">
      <c r="A28" s="2878" t="s">
        <v>1383</v>
      </c>
      <c r="B28" s="2879"/>
      <c r="C28" s="682">
        <v>0</v>
      </c>
      <c r="D28" s="682">
        <v>1</v>
      </c>
      <c r="E28" s="682">
        <v>0</v>
      </c>
      <c r="F28" s="682">
        <v>1</v>
      </c>
      <c r="G28" s="682">
        <v>0</v>
      </c>
      <c r="H28" s="682">
        <v>1</v>
      </c>
      <c r="I28" s="638">
        <v>0</v>
      </c>
      <c r="J28" s="638">
        <v>0</v>
      </c>
      <c r="K28" s="638">
        <v>0</v>
      </c>
      <c r="L28" s="638">
        <v>0</v>
      </c>
      <c r="M28" s="638">
        <v>0</v>
      </c>
      <c r="N28" s="638">
        <v>79</v>
      </c>
      <c r="O28" s="1253" t="s">
        <v>1000</v>
      </c>
    </row>
    <row r="29" spans="1:15" ht="15" customHeight="1">
      <c r="A29" s="2878" t="s">
        <v>1384</v>
      </c>
      <c r="B29" s="2879"/>
      <c r="C29" s="682">
        <v>7</v>
      </c>
      <c r="D29" s="682">
        <v>17</v>
      </c>
      <c r="E29" s="682">
        <v>0</v>
      </c>
      <c r="F29" s="682">
        <v>4</v>
      </c>
      <c r="G29" s="682">
        <v>6</v>
      </c>
      <c r="H29" s="682">
        <v>6</v>
      </c>
      <c r="I29" s="638">
        <v>0</v>
      </c>
      <c r="J29" s="638">
        <v>1</v>
      </c>
      <c r="K29" s="638">
        <v>310</v>
      </c>
      <c r="L29" s="638">
        <v>1794</v>
      </c>
      <c r="M29" s="638">
        <v>276</v>
      </c>
      <c r="N29" s="638">
        <v>845</v>
      </c>
      <c r="O29" s="1253" t="s">
        <v>1851</v>
      </c>
    </row>
    <row r="30" spans="1:15" ht="15" customHeight="1">
      <c r="A30" s="2881" t="s">
        <v>1915</v>
      </c>
      <c r="B30" s="2882"/>
      <c r="C30" s="719">
        <f>SUM(C25:C29)</f>
        <v>7</v>
      </c>
      <c r="D30" s="719">
        <f t="shared" ref="D30:N30" si="0">SUM(D25:D29)</f>
        <v>19</v>
      </c>
      <c r="E30" s="719">
        <f t="shared" si="0"/>
        <v>0</v>
      </c>
      <c r="F30" s="719">
        <f t="shared" si="0"/>
        <v>6</v>
      </c>
      <c r="G30" s="719">
        <f t="shared" si="0"/>
        <v>6</v>
      </c>
      <c r="H30" s="719">
        <f t="shared" si="0"/>
        <v>7</v>
      </c>
      <c r="I30" s="719">
        <f t="shared" si="0"/>
        <v>0</v>
      </c>
      <c r="J30" s="719">
        <f t="shared" si="0"/>
        <v>1</v>
      </c>
      <c r="K30" s="719">
        <f t="shared" si="0"/>
        <v>310</v>
      </c>
      <c r="L30" s="719">
        <f t="shared" si="0"/>
        <v>1794</v>
      </c>
      <c r="M30" s="719">
        <f t="shared" si="0"/>
        <v>276</v>
      </c>
      <c r="N30" s="719">
        <f t="shared" si="0"/>
        <v>924</v>
      </c>
      <c r="O30" s="1253" t="s">
        <v>1852</v>
      </c>
    </row>
    <row r="31" spans="1:15" ht="13.5" customHeight="1"/>
    <row r="32" spans="1:15" ht="13.5" customHeight="1">
      <c r="A32" s="2880" t="s">
        <v>1323</v>
      </c>
      <c r="B32" s="2879"/>
      <c r="C32" s="682"/>
      <c r="D32" s="682"/>
      <c r="E32" s="682"/>
      <c r="F32" s="682"/>
      <c r="G32" s="682"/>
      <c r="H32" s="682"/>
      <c r="I32" s="682"/>
      <c r="J32" s="720"/>
      <c r="K32" s="738"/>
      <c r="L32" s="738"/>
      <c r="M32" s="738"/>
      <c r="N32" s="738"/>
      <c r="O32" s="1253" t="s">
        <v>1248</v>
      </c>
    </row>
    <row r="33" spans="1:15" ht="15" customHeight="1">
      <c r="A33" s="2880" t="s">
        <v>705</v>
      </c>
      <c r="B33" s="2879"/>
      <c r="C33" s="682"/>
      <c r="D33" s="682"/>
      <c r="E33" s="682"/>
      <c r="F33" s="682"/>
      <c r="G33" s="682"/>
      <c r="H33" s="682"/>
      <c r="I33" s="682"/>
      <c r="J33" s="720"/>
      <c r="K33" s="738"/>
      <c r="L33" s="738"/>
      <c r="M33" s="738"/>
      <c r="N33" s="738"/>
      <c r="O33" s="1253" t="s">
        <v>1775</v>
      </c>
    </row>
    <row r="34" spans="1:15" ht="15" customHeight="1">
      <c r="A34" s="2880" t="s">
        <v>1966</v>
      </c>
      <c r="B34" s="2879"/>
      <c r="C34" s="682">
        <v>0</v>
      </c>
      <c r="D34" s="682">
        <v>1</v>
      </c>
      <c r="E34" s="682">
        <v>0</v>
      </c>
      <c r="F34" s="682">
        <v>1</v>
      </c>
      <c r="G34" s="682">
        <v>2</v>
      </c>
      <c r="H34" s="682">
        <v>0</v>
      </c>
      <c r="I34" s="682">
        <v>0</v>
      </c>
      <c r="J34" s="682">
        <v>0</v>
      </c>
      <c r="K34" s="639">
        <v>5</v>
      </c>
      <c r="L34" s="639">
        <v>0</v>
      </c>
      <c r="M34" s="639">
        <v>94</v>
      </c>
      <c r="N34" s="639">
        <v>0</v>
      </c>
      <c r="O34" s="1253" t="s">
        <v>2200</v>
      </c>
    </row>
    <row r="35" spans="1:15" ht="15" customHeight="1">
      <c r="A35" s="2880" t="s">
        <v>1385</v>
      </c>
      <c r="B35" s="2879"/>
      <c r="C35" s="682">
        <v>18</v>
      </c>
      <c r="D35" s="682">
        <v>3</v>
      </c>
      <c r="E35" s="682">
        <v>4</v>
      </c>
      <c r="F35" s="682">
        <v>1</v>
      </c>
      <c r="G35" s="682">
        <v>2</v>
      </c>
      <c r="H35" s="682">
        <v>1</v>
      </c>
      <c r="I35" s="682">
        <v>0</v>
      </c>
      <c r="J35" s="682">
        <v>0</v>
      </c>
      <c r="K35" s="638">
        <v>1375</v>
      </c>
      <c r="L35" s="638">
        <v>634</v>
      </c>
      <c r="M35" s="638">
        <v>522</v>
      </c>
      <c r="N35" s="638">
        <v>76</v>
      </c>
      <c r="O35" s="1253" t="s">
        <v>2208</v>
      </c>
    </row>
    <row r="36" spans="1:15" ht="15" customHeight="1">
      <c r="A36" s="2880" t="s">
        <v>1166</v>
      </c>
      <c r="B36" s="2879"/>
      <c r="C36" s="682">
        <v>27</v>
      </c>
      <c r="D36" s="682">
        <v>76</v>
      </c>
      <c r="E36" s="682">
        <v>4</v>
      </c>
      <c r="F36" s="682">
        <v>20</v>
      </c>
      <c r="G36" s="682">
        <v>2</v>
      </c>
      <c r="H36" s="682">
        <v>13</v>
      </c>
      <c r="I36" s="682">
        <v>1</v>
      </c>
      <c r="J36" s="682">
        <v>4</v>
      </c>
      <c r="K36" s="638">
        <v>2866</v>
      </c>
      <c r="L36" s="638">
        <v>3881</v>
      </c>
      <c r="M36" s="638">
        <v>117</v>
      </c>
      <c r="N36" s="638">
        <v>389</v>
      </c>
      <c r="O36" s="1253" t="s">
        <v>1242</v>
      </c>
    </row>
    <row r="37" spans="1:15" ht="24.75" customHeight="1">
      <c r="A37" s="2880" t="s">
        <v>1310</v>
      </c>
      <c r="B37" s="2879"/>
      <c r="C37" s="682"/>
      <c r="D37" s="682"/>
      <c r="E37" s="682"/>
      <c r="F37" s="682"/>
      <c r="G37" s="682"/>
      <c r="H37" s="682"/>
      <c r="I37" s="682"/>
      <c r="J37" s="682"/>
      <c r="K37" s="638"/>
      <c r="L37" s="638"/>
      <c r="M37" s="638"/>
      <c r="N37" s="638"/>
      <c r="O37" s="1253" t="s">
        <v>1779</v>
      </c>
    </row>
    <row r="38" spans="1:15" ht="15" customHeight="1">
      <c r="A38" s="2881" t="s">
        <v>673</v>
      </c>
      <c r="B38" s="2882"/>
      <c r="C38" s="719">
        <f>SUM(C32:C37)</f>
        <v>45</v>
      </c>
      <c r="D38" s="719">
        <f t="shared" ref="D38:N38" si="1">SUM(D32:D37)</f>
        <v>80</v>
      </c>
      <c r="E38" s="719">
        <f t="shared" si="1"/>
        <v>8</v>
      </c>
      <c r="F38" s="719">
        <f t="shared" si="1"/>
        <v>22</v>
      </c>
      <c r="G38" s="719">
        <f t="shared" si="1"/>
        <v>6</v>
      </c>
      <c r="H38" s="719">
        <f t="shared" si="1"/>
        <v>14</v>
      </c>
      <c r="I38" s="719">
        <f t="shared" si="1"/>
        <v>1</v>
      </c>
      <c r="J38" s="719">
        <f t="shared" si="1"/>
        <v>4</v>
      </c>
      <c r="K38" s="719">
        <f t="shared" si="1"/>
        <v>4246</v>
      </c>
      <c r="L38" s="719">
        <f t="shared" si="1"/>
        <v>4515</v>
      </c>
      <c r="M38" s="719">
        <f t="shared" si="1"/>
        <v>733</v>
      </c>
      <c r="N38" s="719">
        <f t="shared" si="1"/>
        <v>465</v>
      </c>
      <c r="O38" s="1253" t="s">
        <v>1249</v>
      </c>
    </row>
    <row r="39" spans="1:15" ht="15" customHeight="1"/>
    <row r="40" spans="1:15" ht="17.25" customHeight="1">
      <c r="A40" s="2878" t="s">
        <v>1311</v>
      </c>
      <c r="B40" s="2879"/>
      <c r="C40" s="682"/>
      <c r="D40" s="682"/>
      <c r="E40" s="682"/>
      <c r="F40" s="682"/>
      <c r="G40" s="682"/>
      <c r="H40" s="682"/>
      <c r="I40" s="682"/>
      <c r="J40" s="682"/>
      <c r="K40" s="638"/>
      <c r="L40" s="638"/>
      <c r="M40" s="638"/>
      <c r="N40" s="638"/>
      <c r="O40" s="1253" t="s">
        <v>1258</v>
      </c>
    </row>
    <row r="41" spans="1:15" ht="15" customHeight="1">
      <c r="A41" s="2880" t="s">
        <v>1312</v>
      </c>
      <c r="B41" s="2879"/>
      <c r="C41" s="682"/>
      <c r="D41" s="682"/>
      <c r="E41" s="682"/>
      <c r="F41" s="682"/>
      <c r="G41" s="682"/>
      <c r="H41" s="682"/>
      <c r="I41" s="682"/>
      <c r="J41" s="682"/>
      <c r="K41" s="638"/>
      <c r="L41" s="638"/>
      <c r="M41" s="638"/>
      <c r="N41" s="638"/>
      <c r="O41" s="1253" t="s">
        <v>1263</v>
      </c>
    </row>
    <row r="42" spans="1:15" ht="15" customHeight="1">
      <c r="A42" s="2880" t="s">
        <v>1313</v>
      </c>
      <c r="B42" s="2879"/>
      <c r="C42" s="682"/>
      <c r="D42" s="682"/>
      <c r="E42" s="682"/>
      <c r="F42" s="682"/>
      <c r="G42" s="682"/>
      <c r="H42" s="682"/>
      <c r="I42" s="682"/>
      <c r="J42" s="682"/>
      <c r="K42" s="638"/>
      <c r="L42" s="638"/>
      <c r="M42" s="638"/>
      <c r="N42" s="638"/>
      <c r="O42" s="1253" t="s">
        <v>965</v>
      </c>
    </row>
    <row r="43" spans="1:15" ht="15" customHeight="1">
      <c r="A43" s="2880" t="s">
        <v>1314</v>
      </c>
      <c r="B43" s="2879"/>
      <c r="C43" s="682">
        <v>0</v>
      </c>
      <c r="D43" s="682">
        <v>0</v>
      </c>
      <c r="E43" s="682">
        <v>0</v>
      </c>
      <c r="F43" s="682">
        <v>0</v>
      </c>
      <c r="G43" s="682">
        <v>1</v>
      </c>
      <c r="H43" s="682">
        <v>0</v>
      </c>
      <c r="I43" s="682">
        <v>0</v>
      </c>
      <c r="J43" s="682">
        <v>0</v>
      </c>
      <c r="K43" s="638">
        <v>0</v>
      </c>
      <c r="L43" s="638">
        <v>0</v>
      </c>
      <c r="M43" s="638">
        <v>0</v>
      </c>
      <c r="N43" s="638">
        <v>0</v>
      </c>
      <c r="O43" s="1253" t="s">
        <v>971</v>
      </c>
    </row>
    <row r="44" spans="1:15" ht="30.75" customHeight="1">
      <c r="A44" s="2880" t="s">
        <v>751</v>
      </c>
      <c r="B44" s="2879"/>
      <c r="C44" s="682"/>
      <c r="D44" s="682"/>
      <c r="E44" s="682"/>
      <c r="F44" s="682"/>
      <c r="G44" s="682"/>
      <c r="H44" s="682"/>
      <c r="I44" s="682"/>
      <c r="J44" s="682"/>
      <c r="K44" s="638"/>
      <c r="L44" s="638"/>
      <c r="M44" s="638"/>
      <c r="N44" s="638"/>
      <c r="O44" s="1253" t="s">
        <v>1495</v>
      </c>
    </row>
    <row r="45" spans="1:15" ht="15" customHeight="1">
      <c r="A45" s="2880" t="s">
        <v>752</v>
      </c>
      <c r="B45" s="2879"/>
      <c r="C45" s="721"/>
      <c r="D45" s="721"/>
      <c r="E45" s="682"/>
      <c r="F45" s="721"/>
      <c r="G45" s="721"/>
      <c r="H45" s="682"/>
      <c r="I45" s="682"/>
      <c r="J45" s="682"/>
      <c r="K45" s="638"/>
      <c r="L45" s="638"/>
      <c r="M45" s="638"/>
      <c r="N45" s="638"/>
      <c r="O45" s="1253" t="s">
        <v>425</v>
      </c>
    </row>
    <row r="46" spans="1:15" ht="29.25" customHeight="1">
      <c r="A46" s="2880" t="s">
        <v>2185</v>
      </c>
      <c r="B46" s="2879"/>
      <c r="C46" s="682">
        <v>0</v>
      </c>
      <c r="D46" s="682">
        <v>1</v>
      </c>
      <c r="E46" s="682">
        <v>0</v>
      </c>
      <c r="F46" s="682">
        <v>0</v>
      </c>
      <c r="G46" s="682">
        <v>0</v>
      </c>
      <c r="H46" s="682">
        <v>1</v>
      </c>
      <c r="I46" s="682">
        <v>0</v>
      </c>
      <c r="J46" s="682">
        <v>0</v>
      </c>
      <c r="K46" s="638">
        <v>0</v>
      </c>
      <c r="L46" s="638">
        <v>96</v>
      </c>
      <c r="M46" s="638">
        <v>0</v>
      </c>
      <c r="N46" s="638">
        <v>27</v>
      </c>
      <c r="O46" s="1253" t="s">
        <v>71</v>
      </c>
    </row>
    <row r="47" spans="1:15" ht="15" customHeight="1">
      <c r="A47" s="2880" t="s">
        <v>1026</v>
      </c>
      <c r="B47" s="2879"/>
      <c r="C47" s="721">
        <v>2</v>
      </c>
      <c r="D47" s="721">
        <v>2</v>
      </c>
      <c r="E47" s="682">
        <v>0</v>
      </c>
      <c r="F47" s="721">
        <v>0</v>
      </c>
      <c r="G47" s="721">
        <v>3</v>
      </c>
      <c r="H47" s="682">
        <v>0</v>
      </c>
      <c r="I47" s="682">
        <v>0</v>
      </c>
      <c r="J47" s="682">
        <v>0</v>
      </c>
      <c r="K47" s="638">
        <v>204</v>
      </c>
      <c r="L47" s="638">
        <v>101</v>
      </c>
      <c r="M47" s="638">
        <v>120</v>
      </c>
      <c r="N47" s="638">
        <v>0</v>
      </c>
      <c r="O47" s="1253" t="s">
        <v>366</v>
      </c>
    </row>
    <row r="48" spans="1:15">
      <c r="A48" s="2880" t="s">
        <v>1027</v>
      </c>
      <c r="B48" s="2879"/>
      <c r="C48" s="721">
        <v>0</v>
      </c>
      <c r="D48" s="721">
        <v>1</v>
      </c>
      <c r="E48" s="682">
        <v>0</v>
      </c>
      <c r="F48" s="721">
        <v>0</v>
      </c>
      <c r="G48" s="721">
        <v>0</v>
      </c>
      <c r="H48" s="682">
        <v>0</v>
      </c>
      <c r="I48" s="682">
        <v>0</v>
      </c>
      <c r="J48" s="682">
        <v>0</v>
      </c>
      <c r="K48" s="638">
        <v>0</v>
      </c>
      <c r="L48" s="638">
        <v>43</v>
      </c>
      <c r="M48" s="638">
        <v>0</v>
      </c>
      <c r="N48" s="638">
        <v>0</v>
      </c>
      <c r="O48" s="1253" t="s">
        <v>374</v>
      </c>
    </row>
    <row r="49" spans="1:15" ht="15" customHeight="1">
      <c r="A49" s="2905" t="s">
        <v>1250</v>
      </c>
      <c r="B49" s="2906"/>
      <c r="C49" s="719">
        <f>SUM(C40:C48)</f>
        <v>2</v>
      </c>
      <c r="D49" s="719">
        <f t="shared" ref="D49:N49" si="2">SUM(D40:D48)</f>
        <v>4</v>
      </c>
      <c r="E49" s="719">
        <f t="shared" si="2"/>
        <v>0</v>
      </c>
      <c r="F49" s="719">
        <f t="shared" si="2"/>
        <v>0</v>
      </c>
      <c r="G49" s="719">
        <f t="shared" si="2"/>
        <v>4</v>
      </c>
      <c r="H49" s="719">
        <f t="shared" si="2"/>
        <v>1</v>
      </c>
      <c r="I49" s="719">
        <f t="shared" si="2"/>
        <v>0</v>
      </c>
      <c r="J49" s="719">
        <f t="shared" si="2"/>
        <v>0</v>
      </c>
      <c r="K49" s="719">
        <f t="shared" si="2"/>
        <v>204</v>
      </c>
      <c r="L49" s="719">
        <f t="shared" si="2"/>
        <v>240</v>
      </c>
      <c r="M49" s="719">
        <f t="shared" si="2"/>
        <v>120</v>
      </c>
      <c r="N49" s="719">
        <f t="shared" si="2"/>
        <v>27</v>
      </c>
      <c r="O49" s="1253" t="s">
        <v>375</v>
      </c>
    </row>
    <row r="50" spans="1:15" ht="15" customHeight="1"/>
    <row r="51" spans="1:15" ht="15" customHeight="1">
      <c r="A51" s="2904" t="s">
        <v>1109</v>
      </c>
      <c r="B51" s="2879"/>
      <c r="C51" s="682"/>
      <c r="D51" s="682"/>
      <c r="E51" s="682"/>
      <c r="F51" s="682"/>
      <c r="G51" s="682"/>
      <c r="H51" s="682"/>
      <c r="I51" s="682"/>
      <c r="J51" s="682"/>
      <c r="K51" s="638"/>
      <c r="L51" s="638"/>
      <c r="M51" s="638"/>
      <c r="N51" s="638"/>
      <c r="O51" s="1253" t="s">
        <v>383</v>
      </c>
    </row>
    <row r="52" spans="1:15" ht="16.5" customHeight="1">
      <c r="A52" s="2904" t="s">
        <v>1110</v>
      </c>
      <c r="B52" s="2879"/>
      <c r="C52" s="682">
        <v>1</v>
      </c>
      <c r="D52" s="682">
        <v>1</v>
      </c>
      <c r="E52" s="682">
        <v>0</v>
      </c>
      <c r="F52" s="682">
        <v>0</v>
      </c>
      <c r="G52" s="682">
        <v>0</v>
      </c>
      <c r="H52" s="682">
        <v>0</v>
      </c>
      <c r="I52" s="682">
        <v>0</v>
      </c>
      <c r="J52" s="682">
        <v>0</v>
      </c>
      <c r="K52" s="638">
        <v>317</v>
      </c>
      <c r="L52" s="638">
        <v>42</v>
      </c>
      <c r="M52" s="638">
        <v>29</v>
      </c>
      <c r="N52" s="638">
        <v>0</v>
      </c>
      <c r="O52" s="1253" t="s">
        <v>1185</v>
      </c>
    </row>
    <row r="53" spans="1:15" ht="15" customHeight="1">
      <c r="A53" s="2904" t="s">
        <v>1111</v>
      </c>
      <c r="B53" s="2879"/>
      <c r="C53" s="682">
        <v>0</v>
      </c>
      <c r="D53" s="682">
        <v>0</v>
      </c>
      <c r="E53" s="682">
        <v>0</v>
      </c>
      <c r="F53" s="682">
        <v>0</v>
      </c>
      <c r="G53" s="682">
        <v>0</v>
      </c>
      <c r="H53" s="682">
        <v>0</v>
      </c>
      <c r="I53" s="682">
        <v>0</v>
      </c>
      <c r="J53" s="682">
        <v>0</v>
      </c>
      <c r="K53" s="638">
        <v>0</v>
      </c>
      <c r="L53" s="638">
        <v>0</v>
      </c>
      <c r="M53" s="638">
        <v>2</v>
      </c>
      <c r="N53" s="638">
        <v>0</v>
      </c>
      <c r="O53" s="1253" t="s">
        <v>1193</v>
      </c>
    </row>
    <row r="54" spans="1:15" ht="15" customHeight="1">
      <c r="A54" s="2907" t="s">
        <v>376</v>
      </c>
      <c r="B54" s="2906"/>
      <c r="C54" s="719">
        <f>SUM(C51:C53)</f>
        <v>1</v>
      </c>
      <c r="D54" s="719">
        <f t="shared" ref="D54:N54" si="3">SUM(D51:D53)</f>
        <v>1</v>
      </c>
      <c r="E54" s="719">
        <f t="shared" si="3"/>
        <v>0</v>
      </c>
      <c r="F54" s="719">
        <f t="shared" si="3"/>
        <v>0</v>
      </c>
      <c r="G54" s="719">
        <f t="shared" si="3"/>
        <v>0</v>
      </c>
      <c r="H54" s="719">
        <f t="shared" si="3"/>
        <v>0</v>
      </c>
      <c r="I54" s="719">
        <f t="shared" si="3"/>
        <v>0</v>
      </c>
      <c r="J54" s="719">
        <f t="shared" si="3"/>
        <v>0</v>
      </c>
      <c r="K54" s="719">
        <f t="shared" si="3"/>
        <v>317</v>
      </c>
      <c r="L54" s="719">
        <f t="shared" si="3"/>
        <v>42</v>
      </c>
      <c r="M54" s="719">
        <f t="shared" si="3"/>
        <v>31</v>
      </c>
      <c r="N54" s="719">
        <f t="shared" si="3"/>
        <v>0</v>
      </c>
      <c r="O54" s="1253" t="s">
        <v>1194</v>
      </c>
    </row>
    <row r="55" spans="1:15" ht="15" customHeight="1"/>
    <row r="56" spans="1:15" ht="15" customHeight="1">
      <c r="A56" s="2904" t="s">
        <v>1112</v>
      </c>
      <c r="B56" s="2879"/>
      <c r="C56" s="682"/>
      <c r="D56" s="682"/>
      <c r="E56" s="682"/>
      <c r="F56" s="682"/>
      <c r="G56" s="682"/>
      <c r="H56" s="682"/>
      <c r="I56" s="682"/>
      <c r="J56" s="682"/>
      <c r="K56" s="638"/>
      <c r="L56" s="638"/>
      <c r="M56" s="638"/>
      <c r="N56" s="638"/>
      <c r="O56" s="1253" t="s">
        <v>1203</v>
      </c>
    </row>
    <row r="57" spans="1:15" ht="15" customHeight="1">
      <c r="A57" s="2904" t="s">
        <v>1113</v>
      </c>
      <c r="B57" s="2879"/>
      <c r="C57" s="682"/>
      <c r="D57" s="682"/>
      <c r="E57" s="682"/>
      <c r="F57" s="682"/>
      <c r="G57" s="682"/>
      <c r="H57" s="682"/>
      <c r="I57" s="682"/>
      <c r="J57" s="682"/>
      <c r="K57" s="638"/>
      <c r="L57" s="638"/>
      <c r="M57" s="638"/>
      <c r="N57" s="638"/>
      <c r="O57" s="1253" t="s">
        <v>1395</v>
      </c>
    </row>
    <row r="58" spans="1:15" ht="14.25" customHeight="1">
      <c r="A58" s="2904" t="s">
        <v>1114</v>
      </c>
      <c r="B58" s="2879"/>
      <c r="C58" s="682">
        <v>0</v>
      </c>
      <c r="D58" s="682">
        <v>2</v>
      </c>
      <c r="E58" s="682">
        <v>0</v>
      </c>
      <c r="F58" s="682">
        <v>0</v>
      </c>
      <c r="G58" s="682">
        <v>0</v>
      </c>
      <c r="H58" s="682">
        <v>1</v>
      </c>
      <c r="I58" s="682">
        <v>0</v>
      </c>
      <c r="J58" s="682">
        <v>0</v>
      </c>
      <c r="K58" s="638">
        <v>0</v>
      </c>
      <c r="L58" s="638">
        <v>1</v>
      </c>
      <c r="M58" s="638">
        <v>0</v>
      </c>
      <c r="N58" s="638">
        <v>10</v>
      </c>
      <c r="O58" s="1253" t="s">
        <v>1396</v>
      </c>
    </row>
    <row r="59" spans="1:15" ht="15" customHeight="1">
      <c r="A59" s="2904" t="s">
        <v>1945</v>
      </c>
      <c r="B59" s="2879"/>
      <c r="C59" s="682"/>
      <c r="D59" s="682"/>
      <c r="E59" s="682"/>
      <c r="F59" s="682"/>
      <c r="G59" s="682"/>
      <c r="H59" s="682"/>
      <c r="I59" s="682"/>
      <c r="J59" s="682"/>
      <c r="K59" s="638"/>
      <c r="L59" s="638"/>
      <c r="M59" s="638"/>
      <c r="N59" s="638"/>
      <c r="O59" s="1253" t="s">
        <v>1344</v>
      </c>
    </row>
    <row r="60" spans="1:15" ht="15.75" customHeight="1">
      <c r="A60" s="2904" t="s">
        <v>451</v>
      </c>
      <c r="B60" s="2879"/>
      <c r="C60" s="682">
        <v>0</v>
      </c>
      <c r="D60" s="682">
        <v>26</v>
      </c>
      <c r="E60" s="682">
        <v>0</v>
      </c>
      <c r="F60" s="682">
        <v>4</v>
      </c>
      <c r="G60" s="682">
        <v>0</v>
      </c>
      <c r="H60" s="682">
        <v>4</v>
      </c>
      <c r="I60" s="682">
        <v>0</v>
      </c>
      <c r="J60" s="682">
        <v>1</v>
      </c>
      <c r="K60" s="638">
        <v>0</v>
      </c>
      <c r="L60" s="638">
        <v>702</v>
      </c>
      <c r="M60" s="638">
        <v>0</v>
      </c>
      <c r="N60" s="638">
        <v>74</v>
      </c>
      <c r="O60" s="1253" t="s">
        <v>1350</v>
      </c>
    </row>
    <row r="61" spans="1:15" ht="15" customHeight="1">
      <c r="A61" s="2904" t="s">
        <v>1947</v>
      </c>
      <c r="B61" s="2879"/>
      <c r="C61" s="682">
        <v>0</v>
      </c>
      <c r="D61" s="682">
        <v>4</v>
      </c>
      <c r="E61" s="682">
        <v>0</v>
      </c>
      <c r="F61" s="682">
        <v>1</v>
      </c>
      <c r="G61" s="682">
        <v>0</v>
      </c>
      <c r="H61" s="682">
        <v>1</v>
      </c>
      <c r="I61" s="682">
        <v>0</v>
      </c>
      <c r="J61" s="682">
        <v>0</v>
      </c>
      <c r="K61" s="638">
        <v>0</v>
      </c>
      <c r="L61" s="638">
        <v>109</v>
      </c>
      <c r="M61" s="638">
        <v>0</v>
      </c>
      <c r="N61" s="638">
        <v>2</v>
      </c>
      <c r="O61" s="1253" t="s">
        <v>1572</v>
      </c>
    </row>
    <row r="62" spans="1:15" ht="15" customHeight="1">
      <c r="A62" s="2908" t="s">
        <v>1195</v>
      </c>
      <c r="B62" s="2882"/>
      <c r="C62" s="719">
        <f>SUM(C56:C61)</f>
        <v>0</v>
      </c>
      <c r="D62" s="719">
        <f t="shared" ref="D62:N62" si="4">SUM(D56:D61)</f>
        <v>32</v>
      </c>
      <c r="E62" s="719">
        <f t="shared" si="4"/>
        <v>0</v>
      </c>
      <c r="F62" s="719">
        <f t="shared" si="4"/>
        <v>5</v>
      </c>
      <c r="G62" s="719">
        <f t="shared" si="4"/>
        <v>0</v>
      </c>
      <c r="H62" s="719">
        <f t="shared" si="4"/>
        <v>6</v>
      </c>
      <c r="I62" s="719">
        <f t="shared" si="4"/>
        <v>0</v>
      </c>
      <c r="J62" s="719">
        <f t="shared" si="4"/>
        <v>1</v>
      </c>
      <c r="K62" s="719">
        <f t="shared" si="4"/>
        <v>0</v>
      </c>
      <c r="L62" s="719">
        <f t="shared" si="4"/>
        <v>812</v>
      </c>
      <c r="M62" s="719">
        <f t="shared" si="4"/>
        <v>0</v>
      </c>
      <c r="N62" s="719">
        <f t="shared" si="4"/>
        <v>86</v>
      </c>
      <c r="O62" s="1253" t="s">
        <v>1573</v>
      </c>
    </row>
    <row r="63" spans="1:15" ht="15" customHeight="1"/>
    <row r="64" spans="1:15" ht="15" customHeight="1">
      <c r="A64" s="2904" t="s">
        <v>1948</v>
      </c>
      <c r="B64" s="2879"/>
      <c r="C64" s="682"/>
      <c r="D64" s="682"/>
      <c r="E64" s="682"/>
      <c r="F64" s="682"/>
      <c r="G64" s="682"/>
      <c r="H64" s="682"/>
      <c r="I64" s="682"/>
      <c r="J64" s="682"/>
      <c r="K64" s="638"/>
      <c r="L64" s="638"/>
      <c r="M64" s="638"/>
      <c r="N64" s="638"/>
      <c r="O64" s="1253" t="s">
        <v>1583</v>
      </c>
    </row>
    <row r="65" spans="1:15" ht="15" customHeight="1">
      <c r="A65" s="2904" t="s">
        <v>1949</v>
      </c>
      <c r="B65" s="2879"/>
      <c r="C65" s="682"/>
      <c r="D65" s="682"/>
      <c r="E65" s="682"/>
      <c r="F65" s="682"/>
      <c r="G65" s="682"/>
      <c r="H65" s="682"/>
      <c r="I65" s="682"/>
      <c r="J65" s="682"/>
      <c r="K65" s="638"/>
      <c r="L65" s="638"/>
      <c r="M65" s="638"/>
      <c r="N65" s="638"/>
      <c r="O65" s="1253" t="s">
        <v>1589</v>
      </c>
    </row>
    <row r="66" spans="1:15" ht="15" customHeight="1">
      <c r="A66" s="2904" t="s">
        <v>1950</v>
      </c>
      <c r="B66" s="2879"/>
      <c r="C66" s="682"/>
      <c r="D66" s="682"/>
      <c r="E66" s="682"/>
      <c r="F66" s="682"/>
      <c r="G66" s="682"/>
      <c r="H66" s="682"/>
      <c r="I66" s="682"/>
      <c r="J66" s="682"/>
      <c r="K66" s="638"/>
      <c r="L66" s="638"/>
      <c r="M66" s="638"/>
      <c r="N66" s="638"/>
      <c r="O66" s="1253" t="s">
        <v>1594</v>
      </c>
    </row>
    <row r="67" spans="1:15">
      <c r="A67" s="2904" t="s">
        <v>2232</v>
      </c>
      <c r="B67" s="2879"/>
      <c r="C67" s="682"/>
      <c r="D67" s="682"/>
      <c r="E67" s="682"/>
      <c r="F67" s="682"/>
      <c r="G67" s="682"/>
      <c r="H67" s="682"/>
      <c r="I67" s="682"/>
      <c r="J67" s="682"/>
      <c r="K67" s="638"/>
      <c r="L67" s="638"/>
      <c r="M67" s="638"/>
      <c r="N67" s="638"/>
      <c r="O67" s="1253" t="s">
        <v>1791</v>
      </c>
    </row>
    <row r="68" spans="1:15" ht="15" customHeight="1">
      <c r="A68" s="2904" t="s">
        <v>141</v>
      </c>
      <c r="B68" s="2879"/>
      <c r="C68" s="682"/>
      <c r="D68" s="682"/>
      <c r="E68" s="682"/>
      <c r="F68" s="682"/>
      <c r="G68" s="682"/>
      <c r="H68" s="682"/>
      <c r="I68" s="682"/>
      <c r="J68" s="682"/>
      <c r="K68" s="638"/>
      <c r="L68" s="638"/>
      <c r="M68" s="638"/>
      <c r="N68" s="638"/>
      <c r="O68" s="1253" t="s">
        <v>1600</v>
      </c>
    </row>
    <row r="69" spans="1:15">
      <c r="A69" s="2904" t="s">
        <v>1439</v>
      </c>
      <c r="B69" s="2879"/>
      <c r="C69" s="682"/>
      <c r="D69" s="682"/>
      <c r="E69" s="682"/>
      <c r="F69" s="682"/>
      <c r="G69" s="682"/>
      <c r="H69" s="682"/>
      <c r="I69" s="682"/>
      <c r="J69" s="682"/>
      <c r="K69" s="638"/>
      <c r="L69" s="638"/>
      <c r="M69" s="638"/>
      <c r="N69" s="638"/>
      <c r="O69" s="1253" t="s">
        <v>723</v>
      </c>
    </row>
    <row r="70" spans="1:15" ht="25.5" customHeight="1">
      <c r="A70" s="2904" t="s">
        <v>1895</v>
      </c>
      <c r="B70" s="2879"/>
      <c r="C70" s="682">
        <v>0</v>
      </c>
      <c r="D70" s="682">
        <v>0</v>
      </c>
      <c r="E70" s="682">
        <v>0</v>
      </c>
      <c r="F70" s="682">
        <v>0</v>
      </c>
      <c r="G70" s="682">
        <v>0</v>
      </c>
      <c r="H70" s="682">
        <v>0</v>
      </c>
      <c r="I70" s="682">
        <v>0</v>
      </c>
      <c r="J70" s="682">
        <v>0</v>
      </c>
      <c r="K70" s="638">
        <v>0</v>
      </c>
      <c r="L70" s="638">
        <v>168</v>
      </c>
      <c r="M70" s="638">
        <v>0</v>
      </c>
      <c r="N70" s="638">
        <v>0</v>
      </c>
      <c r="O70" s="1253" t="s">
        <v>419</v>
      </c>
    </row>
    <row r="71" spans="1:15" ht="15" customHeight="1">
      <c r="A71" s="2904" t="s">
        <v>1053</v>
      </c>
      <c r="B71" s="2879"/>
      <c r="C71" s="682">
        <v>0</v>
      </c>
      <c r="D71" s="682">
        <v>1</v>
      </c>
      <c r="E71" s="682">
        <v>0</v>
      </c>
      <c r="F71" s="682">
        <v>0</v>
      </c>
      <c r="G71" s="682">
        <v>0</v>
      </c>
      <c r="H71" s="682">
        <v>0</v>
      </c>
      <c r="I71" s="682">
        <v>0</v>
      </c>
      <c r="J71" s="682">
        <v>0</v>
      </c>
      <c r="K71" s="638">
        <v>0</v>
      </c>
      <c r="L71" s="638">
        <v>8</v>
      </c>
      <c r="M71" s="638">
        <v>0</v>
      </c>
      <c r="N71" s="638">
        <v>0</v>
      </c>
      <c r="O71" s="1253" t="s">
        <v>867</v>
      </c>
    </row>
    <row r="72" spans="1:15" ht="15" customHeight="1">
      <c r="A72" s="2909" t="s">
        <v>1896</v>
      </c>
      <c r="B72" s="2879"/>
      <c r="C72" s="682"/>
      <c r="D72" s="682"/>
      <c r="E72" s="682"/>
      <c r="F72" s="682"/>
      <c r="G72" s="682"/>
      <c r="H72" s="682"/>
      <c r="I72" s="682"/>
      <c r="J72" s="682"/>
      <c r="K72" s="638"/>
      <c r="L72" s="638"/>
      <c r="M72" s="638"/>
      <c r="N72" s="638"/>
      <c r="O72" s="1253" t="s">
        <v>2113</v>
      </c>
    </row>
    <row r="73" spans="1:15" ht="15" customHeight="1">
      <c r="A73" s="2904" t="s">
        <v>1897</v>
      </c>
      <c r="B73" s="2879"/>
      <c r="C73" s="682">
        <v>0</v>
      </c>
      <c r="D73" s="682">
        <v>12</v>
      </c>
      <c r="E73" s="682">
        <v>0</v>
      </c>
      <c r="F73" s="682">
        <v>3</v>
      </c>
      <c r="G73" s="682">
        <v>0</v>
      </c>
      <c r="H73" s="682">
        <v>4</v>
      </c>
      <c r="I73" s="682">
        <v>0</v>
      </c>
      <c r="J73" s="682">
        <v>0</v>
      </c>
      <c r="K73" s="638">
        <v>0</v>
      </c>
      <c r="L73" s="638">
        <v>788</v>
      </c>
      <c r="M73" s="638">
        <v>0</v>
      </c>
      <c r="N73" s="638">
        <v>188</v>
      </c>
      <c r="O73" s="1253" t="s">
        <v>2119</v>
      </c>
    </row>
    <row r="74" spans="1:15" ht="21" customHeight="1">
      <c r="A74" s="2904" t="s">
        <v>1898</v>
      </c>
      <c r="B74" s="2879"/>
      <c r="C74" s="722"/>
      <c r="D74" s="722"/>
      <c r="E74" s="682"/>
      <c r="F74" s="722"/>
      <c r="G74" s="722"/>
      <c r="H74" s="682"/>
      <c r="I74" s="682"/>
      <c r="J74" s="682"/>
      <c r="K74" s="638"/>
      <c r="L74" s="638"/>
      <c r="M74" s="638"/>
      <c r="N74" s="638"/>
      <c r="O74" s="1253" t="s">
        <v>2125</v>
      </c>
    </row>
    <row r="75" spans="1:15" ht="15" customHeight="1">
      <c r="A75" s="2908" t="s">
        <v>1574</v>
      </c>
      <c r="B75" s="2882"/>
      <c r="C75" s="719">
        <f t="shared" ref="C75:N75" si="5">SUM(C64:C74)</f>
        <v>0</v>
      </c>
      <c r="D75" s="719">
        <f t="shared" si="5"/>
        <v>13</v>
      </c>
      <c r="E75" s="719">
        <f t="shared" si="5"/>
        <v>0</v>
      </c>
      <c r="F75" s="719">
        <f t="shared" si="5"/>
        <v>3</v>
      </c>
      <c r="G75" s="719">
        <f t="shared" si="5"/>
        <v>0</v>
      </c>
      <c r="H75" s="719">
        <f t="shared" si="5"/>
        <v>4</v>
      </c>
      <c r="I75" s="719">
        <f t="shared" si="5"/>
        <v>0</v>
      </c>
      <c r="J75" s="719">
        <f t="shared" si="5"/>
        <v>0</v>
      </c>
      <c r="K75" s="719">
        <f t="shared" si="5"/>
        <v>0</v>
      </c>
      <c r="L75" s="719">
        <f t="shared" si="5"/>
        <v>964</v>
      </c>
      <c r="M75" s="719">
        <f t="shared" si="5"/>
        <v>0</v>
      </c>
      <c r="N75" s="719">
        <f t="shared" si="5"/>
        <v>188</v>
      </c>
      <c r="O75" s="1253" t="s">
        <v>2126</v>
      </c>
    </row>
    <row r="76" spans="1:15" ht="15" customHeight="1"/>
    <row r="77" spans="1:15" ht="15" customHeight="1">
      <c r="A77" s="2904" t="s">
        <v>1899</v>
      </c>
      <c r="B77" s="2879"/>
      <c r="C77" s="723"/>
      <c r="D77" s="723"/>
      <c r="E77" s="682"/>
      <c r="F77" s="723"/>
      <c r="G77" s="723"/>
      <c r="H77" s="682"/>
      <c r="I77" s="682"/>
      <c r="J77" s="682"/>
      <c r="K77" s="638"/>
      <c r="L77" s="638"/>
      <c r="M77" s="638"/>
      <c r="N77" s="638"/>
      <c r="O77" s="1253" t="s">
        <v>1640</v>
      </c>
    </row>
    <row r="78" spans="1:15" ht="15" customHeight="1">
      <c r="A78" s="2904" t="s">
        <v>1900</v>
      </c>
      <c r="B78" s="2879"/>
      <c r="C78" s="682"/>
      <c r="D78" s="682"/>
      <c r="E78" s="682"/>
      <c r="F78" s="682"/>
      <c r="G78" s="682"/>
      <c r="H78" s="682"/>
      <c r="I78" s="682"/>
      <c r="J78" s="682"/>
      <c r="K78" s="638"/>
      <c r="L78" s="638"/>
      <c r="M78" s="638"/>
      <c r="N78" s="638"/>
      <c r="O78" s="1253" t="s">
        <v>1648</v>
      </c>
    </row>
    <row r="79" spans="1:15" ht="15" customHeight="1">
      <c r="A79" s="2908" t="s">
        <v>2127</v>
      </c>
      <c r="B79" s="2882"/>
      <c r="C79" s="719">
        <f>SUM(C77:C78)</f>
        <v>0</v>
      </c>
      <c r="D79" s="719">
        <f t="shared" ref="D79:N79" si="6">SUM(D77:D78)</f>
        <v>0</v>
      </c>
      <c r="E79" s="719">
        <f t="shared" si="6"/>
        <v>0</v>
      </c>
      <c r="F79" s="719">
        <f t="shared" si="6"/>
        <v>0</v>
      </c>
      <c r="G79" s="719">
        <f t="shared" si="6"/>
        <v>0</v>
      </c>
      <c r="H79" s="719">
        <f t="shared" si="6"/>
        <v>0</v>
      </c>
      <c r="I79" s="719">
        <f t="shared" si="6"/>
        <v>0</v>
      </c>
      <c r="J79" s="719">
        <f t="shared" si="6"/>
        <v>0</v>
      </c>
      <c r="K79" s="719">
        <f t="shared" si="6"/>
        <v>0</v>
      </c>
      <c r="L79" s="719">
        <f t="shared" si="6"/>
        <v>0</v>
      </c>
      <c r="M79" s="719">
        <f t="shared" si="6"/>
        <v>0</v>
      </c>
      <c r="N79" s="719">
        <f t="shared" si="6"/>
        <v>0</v>
      </c>
      <c r="O79" s="1253" t="s">
        <v>1649</v>
      </c>
    </row>
    <row r="80" spans="1:15" ht="15" customHeight="1"/>
    <row r="81" spans="1:15" ht="15" customHeight="1">
      <c r="A81" s="2904" t="s">
        <v>1434</v>
      </c>
      <c r="B81" s="2879"/>
      <c r="C81" s="682">
        <v>1</v>
      </c>
      <c r="D81" s="682">
        <v>0</v>
      </c>
      <c r="E81" s="682">
        <v>1</v>
      </c>
      <c r="F81" s="682">
        <v>0</v>
      </c>
      <c r="G81" s="682">
        <v>0</v>
      </c>
      <c r="H81" s="682">
        <v>0</v>
      </c>
      <c r="I81" s="682">
        <v>0</v>
      </c>
      <c r="J81" s="682">
        <v>0</v>
      </c>
      <c r="K81" s="638">
        <v>0</v>
      </c>
      <c r="L81" s="638">
        <v>0</v>
      </c>
      <c r="M81" s="638">
        <v>0</v>
      </c>
      <c r="N81" s="638">
        <v>0</v>
      </c>
      <c r="O81" s="1253" t="s">
        <v>1658</v>
      </c>
    </row>
    <row r="82" spans="1:15" ht="15" customHeight="1">
      <c r="A82" s="2904" t="s">
        <v>2189</v>
      </c>
      <c r="B82" s="2879"/>
      <c r="C82" s="682">
        <v>0</v>
      </c>
      <c r="D82" s="682">
        <v>1</v>
      </c>
      <c r="E82" s="682">
        <v>0</v>
      </c>
      <c r="F82" s="682">
        <v>1</v>
      </c>
      <c r="G82" s="682">
        <v>0</v>
      </c>
      <c r="H82" s="682">
        <v>0</v>
      </c>
      <c r="I82" s="682">
        <v>0</v>
      </c>
      <c r="J82" s="682">
        <v>0</v>
      </c>
      <c r="K82" s="638">
        <v>366</v>
      </c>
      <c r="L82" s="638">
        <v>0</v>
      </c>
      <c r="M82" s="638">
        <v>0</v>
      </c>
      <c r="N82" s="638">
        <v>0</v>
      </c>
      <c r="O82" s="1253" t="s">
        <v>302</v>
      </c>
    </row>
    <row r="83" spans="1:15" ht="15" customHeight="1">
      <c r="A83" s="2904" t="s">
        <v>2190</v>
      </c>
      <c r="B83" s="2879"/>
      <c r="C83" s="682">
        <v>35</v>
      </c>
      <c r="D83" s="682">
        <v>18</v>
      </c>
      <c r="E83" s="682">
        <v>9</v>
      </c>
      <c r="F83" s="682">
        <v>1</v>
      </c>
      <c r="G83" s="682">
        <v>2</v>
      </c>
      <c r="H83" s="682">
        <v>3</v>
      </c>
      <c r="I83" s="682">
        <v>0</v>
      </c>
      <c r="J83" s="682">
        <v>1</v>
      </c>
      <c r="K83" s="638">
        <v>2532</v>
      </c>
      <c r="L83" s="638">
        <v>2900</v>
      </c>
      <c r="M83" s="638">
        <v>323</v>
      </c>
      <c r="N83" s="638">
        <v>88</v>
      </c>
      <c r="O83" s="1253" t="s">
        <v>309</v>
      </c>
    </row>
    <row r="84" spans="1:15" ht="15" customHeight="1">
      <c r="A84" s="2904" t="s">
        <v>2191</v>
      </c>
      <c r="B84" s="2879"/>
      <c r="C84" s="682"/>
      <c r="D84" s="682"/>
      <c r="E84" s="682"/>
      <c r="F84" s="682"/>
      <c r="G84" s="682"/>
      <c r="H84" s="682"/>
      <c r="I84" s="682"/>
      <c r="J84" s="682"/>
      <c r="K84" s="638"/>
      <c r="L84" s="638"/>
      <c r="M84" s="638"/>
      <c r="N84" s="638"/>
      <c r="O84" s="1253" t="s">
        <v>315</v>
      </c>
    </row>
    <row r="85" spans="1:15" ht="15.75" customHeight="1">
      <c r="A85" s="2913" t="s">
        <v>1650</v>
      </c>
      <c r="B85" s="2914"/>
      <c r="C85" s="719">
        <f>SUM(C81:C84)</f>
        <v>36</v>
      </c>
      <c r="D85" s="719">
        <f t="shared" ref="D85:N85" si="7">SUM(D81:D84)</f>
        <v>19</v>
      </c>
      <c r="E85" s="719">
        <f t="shared" si="7"/>
        <v>10</v>
      </c>
      <c r="F85" s="719">
        <f t="shared" si="7"/>
        <v>2</v>
      </c>
      <c r="G85" s="719">
        <f t="shared" si="7"/>
        <v>2</v>
      </c>
      <c r="H85" s="719">
        <f t="shared" si="7"/>
        <v>3</v>
      </c>
      <c r="I85" s="719">
        <f t="shared" si="7"/>
        <v>0</v>
      </c>
      <c r="J85" s="719">
        <f t="shared" si="7"/>
        <v>1</v>
      </c>
      <c r="K85" s="719">
        <f t="shared" si="7"/>
        <v>2898</v>
      </c>
      <c r="L85" s="719">
        <f t="shared" si="7"/>
        <v>2900</v>
      </c>
      <c r="M85" s="719">
        <f t="shared" si="7"/>
        <v>323</v>
      </c>
      <c r="N85" s="719">
        <f t="shared" si="7"/>
        <v>88</v>
      </c>
      <c r="O85" s="1253" t="s">
        <v>316</v>
      </c>
    </row>
    <row r="86" spans="1:15" ht="15" customHeight="1"/>
    <row r="87" spans="1:15" ht="15" customHeight="1">
      <c r="A87" s="2904" t="s">
        <v>1430</v>
      </c>
      <c r="B87" s="2879"/>
      <c r="C87" s="682"/>
      <c r="D87" s="682"/>
      <c r="E87" s="682"/>
      <c r="F87" s="682"/>
      <c r="G87" s="682"/>
      <c r="H87" s="682"/>
      <c r="I87" s="682"/>
      <c r="J87" s="682"/>
      <c r="K87" s="638"/>
      <c r="L87" s="638"/>
      <c r="M87" s="638"/>
      <c r="N87" s="638"/>
      <c r="O87" s="1253" t="s">
        <v>1800</v>
      </c>
    </row>
    <row r="88" spans="1:15">
      <c r="A88" s="2904" t="s">
        <v>1431</v>
      </c>
      <c r="B88" s="2879"/>
      <c r="C88" s="682"/>
      <c r="D88" s="682"/>
      <c r="E88" s="682"/>
      <c r="F88" s="682"/>
      <c r="G88" s="682"/>
      <c r="H88" s="682"/>
      <c r="I88" s="682"/>
      <c r="J88" s="682"/>
      <c r="K88" s="638"/>
      <c r="L88" s="638"/>
      <c r="M88" s="638"/>
      <c r="N88" s="638"/>
      <c r="O88" s="1253" t="s">
        <v>2220</v>
      </c>
    </row>
    <row r="89" spans="1:15" ht="15" customHeight="1">
      <c r="A89" s="2912" t="s">
        <v>233</v>
      </c>
      <c r="B89" s="2879"/>
      <c r="C89" s="682"/>
      <c r="D89" s="682"/>
      <c r="E89" s="682"/>
      <c r="F89" s="682"/>
      <c r="G89" s="682"/>
      <c r="H89" s="682"/>
      <c r="I89" s="682"/>
      <c r="J89" s="682"/>
      <c r="K89" s="638"/>
      <c r="L89" s="638"/>
      <c r="M89" s="638"/>
      <c r="N89" s="638"/>
      <c r="O89" s="1253" t="s">
        <v>2227</v>
      </c>
    </row>
    <row r="90" spans="1:15" ht="15" customHeight="1">
      <c r="A90" s="2912" t="s">
        <v>234</v>
      </c>
      <c r="B90" s="2879"/>
      <c r="C90" s="682"/>
      <c r="D90" s="682"/>
      <c r="E90" s="682"/>
      <c r="F90" s="682"/>
      <c r="G90" s="682"/>
      <c r="H90" s="682"/>
      <c r="I90" s="682"/>
      <c r="J90" s="682"/>
      <c r="K90" s="638"/>
      <c r="L90" s="638"/>
      <c r="M90" s="638"/>
      <c r="N90" s="638"/>
      <c r="O90" s="1253" t="s">
        <v>1065</v>
      </c>
    </row>
    <row r="91" spans="1:15" ht="15" customHeight="1">
      <c r="A91" s="2904" t="s">
        <v>235</v>
      </c>
      <c r="B91" s="2879"/>
      <c r="C91" s="682"/>
      <c r="D91" s="682"/>
      <c r="E91" s="682"/>
      <c r="F91" s="682"/>
      <c r="G91" s="682"/>
      <c r="H91" s="682"/>
      <c r="I91" s="682"/>
      <c r="J91" s="682"/>
      <c r="K91" s="638"/>
      <c r="L91" s="638"/>
      <c r="M91" s="638"/>
      <c r="N91" s="638"/>
      <c r="O91" s="1253" t="s">
        <v>1807</v>
      </c>
    </row>
    <row r="92" spans="1:15" ht="17.25" customHeight="1">
      <c r="A92" s="2904" t="s">
        <v>1896</v>
      </c>
      <c r="B92" s="2879"/>
      <c r="C92" s="682"/>
      <c r="D92" s="682"/>
      <c r="E92" s="682"/>
      <c r="F92" s="682"/>
      <c r="G92" s="682"/>
      <c r="H92" s="682"/>
      <c r="I92" s="682"/>
      <c r="J92" s="682"/>
      <c r="K92" s="638"/>
      <c r="L92" s="638"/>
      <c r="M92" s="638"/>
      <c r="N92" s="638"/>
      <c r="O92" s="1253" t="s">
        <v>1812</v>
      </c>
    </row>
    <row r="93" spans="1:15" ht="15" customHeight="1">
      <c r="A93" s="2904" t="s">
        <v>236</v>
      </c>
      <c r="B93" s="2879"/>
      <c r="C93" s="682"/>
      <c r="D93" s="682"/>
      <c r="E93" s="682"/>
      <c r="F93" s="682"/>
      <c r="G93" s="682"/>
      <c r="H93" s="682"/>
      <c r="I93" s="682"/>
      <c r="J93" s="682"/>
      <c r="K93" s="638"/>
      <c r="L93" s="638"/>
      <c r="M93" s="638"/>
      <c r="N93" s="638"/>
      <c r="O93" s="1253" t="s">
        <v>1073</v>
      </c>
    </row>
    <row r="94" spans="1:15" ht="15" customHeight="1">
      <c r="A94" s="2904" t="s">
        <v>237</v>
      </c>
      <c r="B94" s="2879"/>
      <c r="C94" s="682"/>
      <c r="D94" s="682"/>
      <c r="E94" s="682"/>
      <c r="F94" s="682"/>
      <c r="G94" s="682"/>
      <c r="H94" s="682"/>
      <c r="I94" s="682"/>
      <c r="J94" s="682"/>
      <c r="K94" s="638"/>
      <c r="L94" s="638"/>
      <c r="M94" s="638"/>
      <c r="N94" s="638"/>
      <c r="O94" s="1253" t="s">
        <v>1079</v>
      </c>
    </row>
    <row r="95" spans="1:15" ht="15" customHeight="1">
      <c r="A95" s="2908" t="s">
        <v>1080</v>
      </c>
      <c r="B95" s="2882"/>
      <c r="C95" s="719">
        <f>SUM(C87:C94)</f>
        <v>0</v>
      </c>
      <c r="D95" s="719">
        <f t="shared" ref="D95:N95" si="8">SUM(D87:D94)</f>
        <v>0</v>
      </c>
      <c r="E95" s="719">
        <f t="shared" si="8"/>
        <v>0</v>
      </c>
      <c r="F95" s="719">
        <f t="shared" si="8"/>
        <v>0</v>
      </c>
      <c r="G95" s="719">
        <f t="shared" si="8"/>
        <v>0</v>
      </c>
      <c r="H95" s="719">
        <f t="shared" si="8"/>
        <v>0</v>
      </c>
      <c r="I95" s="719">
        <f t="shared" si="8"/>
        <v>0</v>
      </c>
      <c r="J95" s="719">
        <f t="shared" si="8"/>
        <v>0</v>
      </c>
      <c r="K95" s="719">
        <f t="shared" si="8"/>
        <v>0</v>
      </c>
      <c r="L95" s="719">
        <f t="shared" si="8"/>
        <v>0</v>
      </c>
      <c r="M95" s="719">
        <f t="shared" si="8"/>
        <v>0</v>
      </c>
      <c r="N95" s="719">
        <f t="shared" si="8"/>
        <v>0</v>
      </c>
      <c r="O95" s="1253" t="s">
        <v>1081</v>
      </c>
    </row>
    <row r="96" spans="1:15" ht="15" customHeight="1"/>
    <row r="97" spans="1:15">
      <c r="A97" s="2904" t="s">
        <v>238</v>
      </c>
      <c r="B97" s="2879"/>
      <c r="C97" s="682"/>
      <c r="D97" s="682"/>
      <c r="E97" s="682"/>
      <c r="F97" s="682"/>
      <c r="G97" s="682"/>
      <c r="H97" s="682"/>
      <c r="I97" s="682"/>
      <c r="J97" s="682"/>
      <c r="K97" s="638"/>
      <c r="L97" s="638"/>
      <c r="M97" s="638"/>
      <c r="N97" s="638"/>
      <c r="O97" s="1253" t="s">
        <v>685</v>
      </c>
    </row>
    <row r="98" spans="1:15" ht="15" customHeight="1">
      <c r="A98" s="2904" t="s">
        <v>239</v>
      </c>
      <c r="B98" s="2879"/>
      <c r="C98" s="682">
        <v>4</v>
      </c>
      <c r="D98" s="682">
        <v>12</v>
      </c>
      <c r="E98" s="682">
        <v>1</v>
      </c>
      <c r="F98" s="682">
        <v>3</v>
      </c>
      <c r="G98" s="682">
        <v>1</v>
      </c>
      <c r="H98" s="682">
        <v>0</v>
      </c>
      <c r="I98" s="682">
        <v>0</v>
      </c>
      <c r="J98" s="682">
        <v>0</v>
      </c>
      <c r="K98" s="638">
        <v>85</v>
      </c>
      <c r="L98" s="638">
        <v>320</v>
      </c>
      <c r="M98" s="638">
        <v>24</v>
      </c>
      <c r="N98" s="638">
        <v>258</v>
      </c>
      <c r="O98" s="1253" t="s">
        <v>693</v>
      </c>
    </row>
    <row r="99" spans="1:15" ht="15" customHeight="1">
      <c r="A99" s="2908" t="s">
        <v>1082</v>
      </c>
      <c r="B99" s="2882"/>
      <c r="C99" s="719">
        <f>SUM(C97:C98)</f>
        <v>4</v>
      </c>
      <c r="D99" s="719">
        <f t="shared" ref="D99:N99" si="9">SUM(D97:D98)</f>
        <v>12</v>
      </c>
      <c r="E99" s="719">
        <f t="shared" si="9"/>
        <v>1</v>
      </c>
      <c r="F99" s="719">
        <f t="shared" si="9"/>
        <v>3</v>
      </c>
      <c r="G99" s="719">
        <f t="shared" si="9"/>
        <v>1</v>
      </c>
      <c r="H99" s="719">
        <f t="shared" si="9"/>
        <v>0</v>
      </c>
      <c r="I99" s="719">
        <f t="shared" si="9"/>
        <v>0</v>
      </c>
      <c r="J99" s="719">
        <f t="shared" si="9"/>
        <v>0</v>
      </c>
      <c r="K99" s="719">
        <f t="shared" si="9"/>
        <v>85</v>
      </c>
      <c r="L99" s="719">
        <f t="shared" si="9"/>
        <v>320</v>
      </c>
      <c r="M99" s="719">
        <f t="shared" si="9"/>
        <v>24</v>
      </c>
      <c r="N99" s="719">
        <f t="shared" si="9"/>
        <v>258</v>
      </c>
      <c r="O99" s="1253" t="s">
        <v>694</v>
      </c>
    </row>
    <row r="100" spans="1:15" ht="15" customHeight="1"/>
    <row r="101" spans="1:15">
      <c r="A101" s="2908" t="s">
        <v>696</v>
      </c>
      <c r="B101" s="2882"/>
      <c r="C101" s="719">
        <f t="shared" ref="C101:N101" si="10">C30+C38+C49+C54+C62+C75+C79+C85+C95+C99</f>
        <v>95</v>
      </c>
      <c r="D101" s="719">
        <f t="shared" si="10"/>
        <v>180</v>
      </c>
      <c r="E101" s="719">
        <f t="shared" si="10"/>
        <v>19</v>
      </c>
      <c r="F101" s="719">
        <f t="shared" si="10"/>
        <v>41</v>
      </c>
      <c r="G101" s="719">
        <f t="shared" si="10"/>
        <v>19</v>
      </c>
      <c r="H101" s="719">
        <f t="shared" si="10"/>
        <v>35</v>
      </c>
      <c r="I101" s="719">
        <f t="shared" si="10"/>
        <v>1</v>
      </c>
      <c r="J101" s="719">
        <f t="shared" si="10"/>
        <v>7</v>
      </c>
      <c r="K101" s="719">
        <f t="shared" si="10"/>
        <v>8060</v>
      </c>
      <c r="L101" s="719">
        <f t="shared" si="10"/>
        <v>11587</v>
      </c>
      <c r="M101" s="719">
        <f t="shared" si="10"/>
        <v>1507</v>
      </c>
      <c r="N101" s="719">
        <f t="shared" si="10"/>
        <v>2036</v>
      </c>
      <c r="O101" s="1254" t="s">
        <v>697</v>
      </c>
    </row>
    <row r="104" spans="1:15">
      <c r="A104" s="2910" t="s">
        <v>1836</v>
      </c>
      <c r="B104" s="2911"/>
      <c r="C104" s="2911"/>
      <c r="D104" s="2911"/>
      <c r="E104" s="2911"/>
      <c r="F104" s="2911"/>
      <c r="G104" s="2911"/>
      <c r="H104" s="2911"/>
      <c r="I104" s="2911"/>
      <c r="J104" s="2302"/>
      <c r="K104" s="2302"/>
      <c r="L104" s="2302"/>
      <c r="M104" s="2302"/>
      <c r="N104" s="2302"/>
    </row>
  </sheetData>
  <sheetProtection algorithmName="SHA-512" hashValue="0yxyDyl7ehmVdgUlptBiwsjCJrCv4cYYp5CiKA2furaW/ZlaSPo5hKFtJzV+r+u67LmUA++U9HkfK5NEvy/Aqw==" saltValue="6aKY06CgD3M0S5gaZ1SPew==" spinCount="100000" sheet="1" objects="1" scenarios="1"/>
  <mergeCells count="102">
    <mergeCell ref="A104:N104"/>
    <mergeCell ref="A93:B93"/>
    <mergeCell ref="A94:B94"/>
    <mergeCell ref="A95:B95"/>
    <mergeCell ref="A98:B98"/>
    <mergeCell ref="A97:B97"/>
    <mergeCell ref="A99:B99"/>
    <mergeCell ref="A101:B101"/>
    <mergeCell ref="A73:B73"/>
    <mergeCell ref="A78:B78"/>
    <mergeCell ref="A77:B77"/>
    <mergeCell ref="A75:B75"/>
    <mergeCell ref="A74:B74"/>
    <mergeCell ref="A92:B92"/>
    <mergeCell ref="A79:B79"/>
    <mergeCell ref="A90:B90"/>
    <mergeCell ref="A89:B89"/>
    <mergeCell ref="A85:B85"/>
    <mergeCell ref="A87:B87"/>
    <mergeCell ref="A88:B88"/>
    <mergeCell ref="A82:B82"/>
    <mergeCell ref="A83:B83"/>
    <mergeCell ref="A91:B91"/>
    <mergeCell ref="A84:B84"/>
    <mergeCell ref="A81:B81"/>
    <mergeCell ref="A71:B71"/>
    <mergeCell ref="A60:B60"/>
    <mergeCell ref="A66:B66"/>
    <mergeCell ref="A68:B68"/>
    <mergeCell ref="A70:B70"/>
    <mergeCell ref="A67:B67"/>
    <mergeCell ref="A61:B61"/>
    <mergeCell ref="A62:B62"/>
    <mergeCell ref="A72:B72"/>
    <mergeCell ref="A69:B69"/>
    <mergeCell ref="A64:B64"/>
    <mergeCell ref="A59:B59"/>
    <mergeCell ref="A57:B57"/>
    <mergeCell ref="A58:B58"/>
    <mergeCell ref="A36:B36"/>
    <mergeCell ref="A41:B41"/>
    <mergeCell ref="A40:B40"/>
    <mergeCell ref="A44:B44"/>
    <mergeCell ref="A65:B65"/>
    <mergeCell ref="A46:B46"/>
    <mergeCell ref="A52:B52"/>
    <mergeCell ref="A47:B47"/>
    <mergeCell ref="A56:B56"/>
    <mergeCell ref="A53:B53"/>
    <mergeCell ref="A54:B54"/>
    <mergeCell ref="A34:B34"/>
    <mergeCell ref="A51:B51"/>
    <mergeCell ref="A48:B48"/>
    <mergeCell ref="A49:B49"/>
    <mergeCell ref="A42:B42"/>
    <mergeCell ref="A38:B38"/>
    <mergeCell ref="A37:B37"/>
    <mergeCell ref="A45:B45"/>
    <mergeCell ref="A35:B35"/>
    <mergeCell ref="A43:B43"/>
    <mergeCell ref="A25:B25"/>
    <mergeCell ref="A33:B33"/>
    <mergeCell ref="A26:B26"/>
    <mergeCell ref="A28:B28"/>
    <mergeCell ref="A29:B29"/>
    <mergeCell ref="A27:B27"/>
    <mergeCell ref="A32:B32"/>
    <mergeCell ref="A30:B30"/>
    <mergeCell ref="K17:N17"/>
    <mergeCell ref="M18:N19"/>
    <mergeCell ref="K18:L19"/>
    <mergeCell ref="C17:J17"/>
    <mergeCell ref="C19:D19"/>
    <mergeCell ref="E19:F19"/>
    <mergeCell ref="G19:H19"/>
    <mergeCell ref="G18:J18"/>
    <mergeCell ref="I19:J19"/>
    <mergeCell ref="N20:N21"/>
    <mergeCell ref="H20:H21"/>
    <mergeCell ref="I20:I21"/>
    <mergeCell ref="L20:L21"/>
    <mergeCell ref="J20:J21"/>
    <mergeCell ref="K20:K21"/>
    <mergeCell ref="M20:M21"/>
    <mergeCell ref="G20:G21"/>
    <mergeCell ref="A14:H14"/>
    <mergeCell ref="A16:B16"/>
    <mergeCell ref="C18:F18"/>
    <mergeCell ref="E20:E21"/>
    <mergeCell ref="C20:C21"/>
    <mergeCell ref="D20:D21"/>
    <mergeCell ref="F20:F21"/>
    <mergeCell ref="A17:B21"/>
    <mergeCell ref="D1:H1"/>
    <mergeCell ref="A3:N3"/>
    <mergeCell ref="A5:N5"/>
    <mergeCell ref="A8:N8"/>
    <mergeCell ref="L10:M11"/>
    <mergeCell ref="C10:D11"/>
    <mergeCell ref="A10:B11"/>
    <mergeCell ref="A6:N6"/>
    <mergeCell ref="G10:K11"/>
  </mergeCells>
  <dataValidations count="3">
    <dataValidation type="list" allowBlank="1" showInputMessage="1" showErrorMessage="1" errorTitle="Erreur de saisie" error="Vous devez saisir une valeur dans la liste" sqref="I14">
      <formula1>lstReponse</formula1>
    </dataValidation>
    <dataValidation type="whole" allowBlank="1" showInputMessage="1" showErrorMessage="1" errorTitle="Erreur de saisie" error="Vous devez saisir une valeur entière" sqref="C97:N98 C87:N94 C81:N84 C77:N78 C64:N74 C56:N61 C51:N53 C40:N48 C32:N37 C25:N29">
      <formula1>0</formula1>
      <formula2>999999999999</formula2>
    </dataValidation>
    <dataValidation type="decimal" allowBlank="1" showInputMessage="1" showErrorMessage="1" errorTitle="Erreur de saisie" error="Vous devez saisir une valeur décimale" sqref="L10:M11">
      <formula1>0</formula1>
      <formula2>999999999999</formula2>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47" orientation="portrait" r:id="rId1"/>
  <headerFooter alignWithMargins="0">
    <oddFooter>&amp;LRSU 2020 - Présentation au CTP&amp;R&amp;P/&amp;N
&amp;A</oddFooter>
  </headerFooter>
  <rowBreaks count="1" manualBreakCount="1">
    <brk id="76" max="16383" man="1"/>
  </rowBreaks>
</worksheet>
</file>

<file path=xl/worksheets/sheet71.xml><?xml version="1.0" encoding="utf-8"?>
<worksheet xmlns="http://schemas.openxmlformats.org/spreadsheetml/2006/main" xmlns:r="http://schemas.openxmlformats.org/officeDocument/2006/relationships">
  <sheetPr codeName="Feuil63">
    <pageSetUpPr fitToPage="1"/>
  </sheetPr>
  <dimension ref="A1:K94"/>
  <sheetViews>
    <sheetView showGridLines="0" workbookViewId="0">
      <pane ySplit="15" topLeftCell="A16" activePane="bottomLeft" state="frozen"/>
      <selection activeCell="H29" sqref="H29:AB29"/>
      <selection pane="bottomLeft"/>
    </sheetView>
  </sheetViews>
  <sheetFormatPr baseColWidth="10" defaultColWidth="10.85546875" defaultRowHeight="12.75" customHeight="1"/>
  <cols>
    <col min="1" max="1" width="3.85546875" customWidth="1"/>
    <col min="2" max="2" width="35.7109375" customWidth="1"/>
    <col min="3" max="4" width="14.28515625" customWidth="1"/>
    <col min="5" max="5" width="14.42578125" customWidth="1"/>
    <col min="6" max="6" width="16" customWidth="1"/>
    <col min="7" max="7" width="10.28515625" customWidth="1"/>
    <col min="8" max="8" width="9.42578125" customWidth="1"/>
    <col min="9" max="9" width="9.7109375" customWidth="1"/>
    <col min="10" max="10" width="9.42578125" customWidth="1"/>
    <col min="11" max="11" width="10" customWidth="1"/>
  </cols>
  <sheetData>
    <row r="1" spans="1:11" ht="17.100000000000001" customHeight="1">
      <c r="C1" s="2245" t="s">
        <v>958</v>
      </c>
      <c r="D1" s="2245"/>
    </row>
    <row r="2" spans="1:11" ht="13.5" thickBot="1"/>
    <row r="3" spans="1:11" ht="26.25" customHeight="1" thickBot="1">
      <c r="A3" s="2628" t="s">
        <v>883</v>
      </c>
      <c r="B3" s="2940"/>
      <c r="C3" s="2940"/>
      <c r="D3" s="2940"/>
      <c r="E3" s="2940"/>
      <c r="F3" s="2940"/>
      <c r="G3" s="2940"/>
      <c r="H3" s="2940"/>
      <c r="I3" s="2940"/>
      <c r="J3" s="2940"/>
    </row>
    <row r="5" spans="1:11" ht="12.75" customHeight="1">
      <c r="A5" s="2824" t="s">
        <v>2551</v>
      </c>
      <c r="B5" s="2949"/>
      <c r="C5" s="2949"/>
      <c r="D5" s="2949"/>
      <c r="E5" s="2949"/>
      <c r="F5" s="2949"/>
      <c r="G5" s="2949"/>
      <c r="H5" s="2949"/>
      <c r="I5" s="2949"/>
      <c r="J5" s="2949"/>
    </row>
    <row r="6" spans="1:11" ht="12.75" customHeight="1">
      <c r="A6" s="2928" t="s">
        <v>1819</v>
      </c>
      <c r="B6" s="2929"/>
      <c r="C6" s="2929"/>
      <c r="D6" s="2929"/>
      <c r="E6" s="2929"/>
      <c r="F6" s="2929"/>
      <c r="G6" s="2929"/>
      <c r="H6" s="2929"/>
      <c r="I6" s="2929"/>
      <c r="J6" s="2929"/>
    </row>
    <row r="7" spans="1:11" ht="9" customHeight="1"/>
    <row r="8" spans="1:11" ht="6.75" customHeight="1"/>
    <row r="9" spans="1:11" ht="25.5" customHeight="1">
      <c r="A9" s="2941" t="s">
        <v>2429</v>
      </c>
      <c r="B9" s="2942"/>
      <c r="C9" s="2942"/>
      <c r="D9" s="2942"/>
      <c r="E9" s="2942"/>
      <c r="F9" s="2942"/>
      <c r="G9" s="2942"/>
      <c r="H9" s="2943"/>
      <c r="I9" s="637" t="s">
        <v>1124</v>
      </c>
    </row>
    <row r="10" spans="1:11" ht="14.25" customHeight="1">
      <c r="C10" s="1255">
        <v>1</v>
      </c>
      <c r="D10" s="1255">
        <v>1</v>
      </c>
      <c r="E10" s="1255">
        <v>2</v>
      </c>
      <c r="F10" s="1255">
        <v>2</v>
      </c>
      <c r="G10" s="1255">
        <v>3</v>
      </c>
      <c r="H10" s="1255">
        <v>3</v>
      </c>
      <c r="I10" s="1219">
        <v>4</v>
      </c>
      <c r="J10" s="1219">
        <v>4</v>
      </c>
      <c r="K10" s="1219" t="s">
        <v>1363</v>
      </c>
    </row>
    <row r="11" spans="1:11" ht="13.5" thickBot="1">
      <c r="A11" s="447" t="s">
        <v>1456</v>
      </c>
      <c r="B11" s="556"/>
      <c r="C11" s="1219">
        <v>1</v>
      </c>
      <c r="D11" s="1219">
        <v>2</v>
      </c>
      <c r="E11" s="1255">
        <v>1</v>
      </c>
      <c r="F11" s="1255">
        <v>2</v>
      </c>
      <c r="G11" s="1255">
        <v>1</v>
      </c>
      <c r="H11" s="1255">
        <v>2</v>
      </c>
      <c r="I11" s="1255">
        <v>1</v>
      </c>
      <c r="J11" s="1255">
        <v>2</v>
      </c>
      <c r="K11" s="1255" t="s">
        <v>1307</v>
      </c>
    </row>
    <row r="12" spans="1:11" ht="76.5" customHeight="1" thickBot="1">
      <c r="A12" s="2953" t="s">
        <v>772</v>
      </c>
      <c r="B12" s="2954"/>
      <c r="C12" s="2932" t="s">
        <v>2555</v>
      </c>
      <c r="D12" s="2934"/>
      <c r="E12" s="2935" t="s">
        <v>2556</v>
      </c>
      <c r="F12" s="2936"/>
      <c r="G12" s="2932" t="s">
        <v>2184</v>
      </c>
      <c r="H12" s="2933"/>
      <c r="I12" s="2933"/>
      <c r="J12" s="2934"/>
    </row>
    <row r="13" spans="1:11" ht="72.75" customHeight="1" thickBot="1">
      <c r="A13" s="2955"/>
      <c r="B13" s="2956"/>
      <c r="C13" s="2926" t="s">
        <v>707</v>
      </c>
      <c r="D13" s="2937" t="s">
        <v>708</v>
      </c>
      <c r="E13" s="2926" t="s">
        <v>707</v>
      </c>
      <c r="F13" s="2946" t="s">
        <v>708</v>
      </c>
      <c r="G13" s="2930" t="s">
        <v>1448</v>
      </c>
      <c r="H13" s="2931"/>
      <c r="I13" s="2930" t="s">
        <v>1173</v>
      </c>
      <c r="J13" s="2931"/>
    </row>
    <row r="14" spans="1:11" ht="15.75" customHeight="1">
      <c r="A14" s="2955"/>
      <c r="B14" s="2956"/>
      <c r="C14" s="2950"/>
      <c r="D14" s="2938"/>
      <c r="E14" s="2950"/>
      <c r="F14" s="2947"/>
      <c r="G14" s="2926" t="s">
        <v>707</v>
      </c>
      <c r="H14" s="2944" t="s">
        <v>708</v>
      </c>
      <c r="I14" s="2926" t="s">
        <v>707</v>
      </c>
      <c r="J14" s="2924" t="s">
        <v>708</v>
      </c>
    </row>
    <row r="15" spans="1:11" ht="5.25" customHeight="1" thickBot="1">
      <c r="A15" s="2957"/>
      <c r="B15" s="2958"/>
      <c r="C15" s="2927"/>
      <c r="D15" s="2939"/>
      <c r="E15" s="2927"/>
      <c r="F15" s="2948"/>
      <c r="G15" s="2927"/>
      <c r="H15" s="2945"/>
      <c r="I15" s="2927"/>
      <c r="J15" s="2925"/>
    </row>
    <row r="16" spans="1:11" ht="15" customHeight="1">
      <c r="A16" s="2951" t="s">
        <v>703</v>
      </c>
      <c r="B16" s="2952"/>
      <c r="C16" s="616"/>
      <c r="D16" s="616"/>
      <c r="E16" s="682"/>
      <c r="F16" s="682"/>
      <c r="G16" s="614"/>
      <c r="H16" s="614"/>
      <c r="I16" s="721"/>
      <c r="J16" s="639"/>
      <c r="K16" s="1253" t="s">
        <v>1925</v>
      </c>
    </row>
    <row r="17" spans="1:11" ht="15" customHeight="1">
      <c r="A17" s="2923" t="s">
        <v>704</v>
      </c>
      <c r="B17" s="2916"/>
      <c r="C17" s="616"/>
      <c r="D17" s="616"/>
      <c r="E17" s="682"/>
      <c r="F17" s="682"/>
      <c r="G17" s="616"/>
      <c r="H17" s="616"/>
      <c r="I17" s="682"/>
      <c r="J17" s="638"/>
      <c r="K17" s="1253" t="s">
        <v>1935</v>
      </c>
    </row>
    <row r="18" spans="1:11" ht="15" customHeight="1">
      <c r="A18" s="2922" t="s">
        <v>1382</v>
      </c>
      <c r="B18" s="2916"/>
      <c r="C18" s="616"/>
      <c r="D18" s="616"/>
      <c r="E18" s="682"/>
      <c r="F18" s="682"/>
      <c r="G18" s="616"/>
      <c r="H18" s="616"/>
      <c r="I18" s="682"/>
      <c r="J18" s="638"/>
      <c r="K18" s="1253" t="s">
        <v>1939</v>
      </c>
    </row>
    <row r="19" spans="1:11" ht="15" customHeight="1">
      <c r="A19" s="2923" t="s">
        <v>1383</v>
      </c>
      <c r="B19" s="2916"/>
      <c r="C19" s="616"/>
      <c r="D19" s="616"/>
      <c r="E19" s="682"/>
      <c r="F19" s="682"/>
      <c r="G19" s="616"/>
      <c r="H19" s="616"/>
      <c r="I19" s="682"/>
      <c r="J19" s="638"/>
      <c r="K19" s="1253" t="s">
        <v>1000</v>
      </c>
    </row>
    <row r="20" spans="1:11" ht="15" customHeight="1">
      <c r="A20" s="2923" t="s">
        <v>1384</v>
      </c>
      <c r="B20" s="2916"/>
      <c r="C20" s="616"/>
      <c r="D20" s="616"/>
      <c r="E20" s="682"/>
      <c r="F20" s="682"/>
      <c r="G20" s="616"/>
      <c r="H20" s="616"/>
      <c r="I20" s="682"/>
      <c r="J20" s="638"/>
      <c r="K20" s="1253" t="s">
        <v>1851</v>
      </c>
    </row>
    <row r="21" spans="1:11" ht="15" customHeight="1">
      <c r="A21" s="2881" t="s">
        <v>1915</v>
      </c>
      <c r="B21" s="2882"/>
      <c r="C21" s="719">
        <f>SUM(C16:C20)</f>
        <v>0</v>
      </c>
      <c r="D21" s="719">
        <f t="shared" ref="D21:J21" si="0">SUM(D16:D20)</f>
        <v>0</v>
      </c>
      <c r="E21" s="719">
        <f t="shared" si="0"/>
        <v>0</v>
      </c>
      <c r="F21" s="719">
        <f t="shared" si="0"/>
        <v>0</v>
      </c>
      <c r="G21" s="719">
        <f t="shared" si="0"/>
        <v>0</v>
      </c>
      <c r="H21" s="719">
        <f t="shared" si="0"/>
        <v>0</v>
      </c>
      <c r="I21" s="719">
        <f t="shared" si="0"/>
        <v>0</v>
      </c>
      <c r="J21" s="719">
        <f t="shared" si="0"/>
        <v>0</v>
      </c>
      <c r="K21" s="1253" t="s">
        <v>1852</v>
      </c>
    </row>
    <row r="22" spans="1:11" ht="14.25" customHeight="1"/>
    <row r="23" spans="1:11" ht="14.25" customHeight="1">
      <c r="A23" s="2922" t="s">
        <v>1323</v>
      </c>
      <c r="B23" s="2916"/>
      <c r="C23" s="616"/>
      <c r="D23" s="616"/>
      <c r="E23" s="682"/>
      <c r="F23" s="682"/>
      <c r="G23" s="616"/>
      <c r="H23" s="616"/>
      <c r="I23" s="682"/>
      <c r="J23" s="682"/>
      <c r="K23" s="1253" t="s">
        <v>1248</v>
      </c>
    </row>
    <row r="24" spans="1:11" ht="15" customHeight="1">
      <c r="A24" s="2922" t="s">
        <v>705</v>
      </c>
      <c r="B24" s="2916"/>
      <c r="C24" s="616"/>
      <c r="D24" s="616"/>
      <c r="E24" s="682"/>
      <c r="F24" s="682"/>
      <c r="G24" s="616"/>
      <c r="H24" s="616"/>
      <c r="I24" s="682"/>
      <c r="J24" s="682"/>
      <c r="K24" s="1253" t="s">
        <v>1775</v>
      </c>
    </row>
    <row r="25" spans="1:11" ht="15" customHeight="1">
      <c r="A25" s="2922" t="s">
        <v>1966</v>
      </c>
      <c r="B25" s="2916"/>
      <c r="C25" s="616"/>
      <c r="D25" s="616"/>
      <c r="E25" s="682"/>
      <c r="F25" s="682"/>
      <c r="G25" s="616"/>
      <c r="H25" s="616"/>
      <c r="I25" s="682"/>
      <c r="J25" s="682"/>
      <c r="K25" s="1253" t="s">
        <v>2200</v>
      </c>
    </row>
    <row r="26" spans="1:11" ht="15" customHeight="1">
      <c r="A26" s="2922" t="s">
        <v>1385</v>
      </c>
      <c r="B26" s="2916"/>
      <c r="C26" s="616">
        <v>1</v>
      </c>
      <c r="D26" s="616">
        <v>0</v>
      </c>
      <c r="E26" s="682">
        <v>1</v>
      </c>
      <c r="F26" s="682">
        <v>0</v>
      </c>
      <c r="G26" s="616">
        <v>0</v>
      </c>
      <c r="H26" s="616">
        <v>0</v>
      </c>
      <c r="I26" s="682">
        <v>222</v>
      </c>
      <c r="J26" s="682">
        <v>0</v>
      </c>
      <c r="K26" s="1253" t="s">
        <v>2208</v>
      </c>
    </row>
    <row r="27" spans="1:11" ht="15" customHeight="1">
      <c r="A27" s="2922" t="s">
        <v>1166</v>
      </c>
      <c r="B27" s="2916"/>
      <c r="C27" s="616">
        <v>0</v>
      </c>
      <c r="D27" s="616">
        <v>0</v>
      </c>
      <c r="E27" s="682">
        <v>0</v>
      </c>
      <c r="F27" s="682">
        <v>4</v>
      </c>
      <c r="G27" s="616">
        <v>0</v>
      </c>
      <c r="H27" s="616">
        <v>0</v>
      </c>
      <c r="I27" s="682">
        <v>201</v>
      </c>
      <c r="J27" s="682">
        <v>896</v>
      </c>
      <c r="K27" s="1253" t="s">
        <v>1242</v>
      </c>
    </row>
    <row r="28" spans="1:11" ht="24" customHeight="1">
      <c r="A28" s="2922" t="s">
        <v>1310</v>
      </c>
      <c r="B28" s="2916"/>
      <c r="C28" s="616"/>
      <c r="D28" s="616"/>
      <c r="E28" s="682"/>
      <c r="F28" s="682"/>
      <c r="G28" s="616"/>
      <c r="H28" s="616"/>
      <c r="I28" s="682"/>
      <c r="J28" s="682"/>
      <c r="K28" s="1253" t="s">
        <v>1779</v>
      </c>
    </row>
    <row r="29" spans="1:11" ht="15" customHeight="1">
      <c r="A29" s="2881" t="s">
        <v>673</v>
      </c>
      <c r="B29" s="2882"/>
      <c r="C29" s="719">
        <f>SUM(C23:C28)</f>
        <v>1</v>
      </c>
      <c r="D29" s="719">
        <f t="shared" ref="D29:J29" si="1">SUM(D23:D28)</f>
        <v>0</v>
      </c>
      <c r="E29" s="719">
        <f t="shared" si="1"/>
        <v>1</v>
      </c>
      <c r="F29" s="719">
        <f t="shared" si="1"/>
        <v>4</v>
      </c>
      <c r="G29" s="719">
        <f>SUM(G23:G28)</f>
        <v>0</v>
      </c>
      <c r="H29" s="719">
        <f t="shared" si="1"/>
        <v>0</v>
      </c>
      <c r="I29" s="719">
        <f t="shared" si="1"/>
        <v>423</v>
      </c>
      <c r="J29" s="719">
        <f t="shared" si="1"/>
        <v>896</v>
      </c>
      <c r="K29" s="1253" t="s">
        <v>1249</v>
      </c>
    </row>
    <row r="30" spans="1:11" ht="15" customHeight="1"/>
    <row r="31" spans="1:11">
      <c r="A31" s="2923" t="s">
        <v>1311</v>
      </c>
      <c r="B31" s="2916"/>
      <c r="C31" s="616"/>
      <c r="D31" s="616"/>
      <c r="E31" s="682"/>
      <c r="F31" s="682"/>
      <c r="G31" s="616"/>
      <c r="H31" s="616"/>
      <c r="I31" s="682"/>
      <c r="J31" s="682"/>
      <c r="K31" s="1253" t="s">
        <v>1258</v>
      </c>
    </row>
    <row r="32" spans="1:11">
      <c r="A32" s="2922" t="s">
        <v>1312</v>
      </c>
      <c r="B32" s="2916"/>
      <c r="C32" s="616"/>
      <c r="D32" s="616"/>
      <c r="E32" s="682"/>
      <c r="F32" s="682"/>
      <c r="G32" s="616"/>
      <c r="H32" s="616"/>
      <c r="I32" s="682"/>
      <c r="J32" s="682"/>
      <c r="K32" s="1253" t="s">
        <v>1263</v>
      </c>
    </row>
    <row r="33" spans="1:11">
      <c r="A33" s="2922" t="s">
        <v>1313</v>
      </c>
      <c r="B33" s="2916"/>
      <c r="C33" s="616"/>
      <c r="D33" s="616"/>
      <c r="E33" s="682"/>
      <c r="F33" s="682"/>
      <c r="G33" s="616"/>
      <c r="H33" s="616"/>
      <c r="I33" s="682"/>
      <c r="J33" s="682"/>
      <c r="K33" s="1253" t="s">
        <v>965</v>
      </c>
    </row>
    <row r="34" spans="1:11">
      <c r="A34" s="2922" t="s">
        <v>1314</v>
      </c>
      <c r="B34" s="2916"/>
      <c r="C34" s="616"/>
      <c r="D34" s="616"/>
      <c r="E34" s="682"/>
      <c r="F34" s="682"/>
      <c r="G34" s="616"/>
      <c r="H34" s="616"/>
      <c r="I34" s="682"/>
      <c r="J34" s="682"/>
      <c r="K34" s="1253" t="s">
        <v>971</v>
      </c>
    </row>
    <row r="35" spans="1:11" ht="26.25" customHeight="1">
      <c r="A35" s="2922" t="s">
        <v>751</v>
      </c>
      <c r="B35" s="2916"/>
      <c r="C35" s="616"/>
      <c r="D35" s="616"/>
      <c r="E35" s="682"/>
      <c r="F35" s="682"/>
      <c r="G35" s="616"/>
      <c r="H35" s="616"/>
      <c r="I35" s="682"/>
      <c r="J35" s="682"/>
      <c r="K35" s="1253" t="s">
        <v>1495</v>
      </c>
    </row>
    <row r="36" spans="1:11">
      <c r="A36" s="2922" t="s">
        <v>752</v>
      </c>
      <c r="B36" s="2916"/>
      <c r="C36" s="614"/>
      <c r="D36" s="614"/>
      <c r="E36" s="682"/>
      <c r="F36" s="721"/>
      <c r="G36" s="614"/>
      <c r="H36" s="614"/>
      <c r="I36" s="682"/>
      <c r="J36" s="682"/>
      <c r="K36" s="1253" t="s">
        <v>425</v>
      </c>
    </row>
    <row r="37" spans="1:11" ht="26.25" customHeight="1">
      <c r="A37" s="2922" t="s">
        <v>2185</v>
      </c>
      <c r="B37" s="2916"/>
      <c r="C37" s="616"/>
      <c r="D37" s="616"/>
      <c r="E37" s="682"/>
      <c r="F37" s="682"/>
      <c r="G37" s="616"/>
      <c r="H37" s="616"/>
      <c r="I37" s="682"/>
      <c r="J37" s="682"/>
      <c r="K37" s="1253" t="s">
        <v>71</v>
      </c>
    </row>
    <row r="38" spans="1:11">
      <c r="A38" s="2922" t="s">
        <v>1026</v>
      </c>
      <c r="B38" s="2916"/>
      <c r="C38" s="614">
        <v>1</v>
      </c>
      <c r="D38" s="614">
        <v>0</v>
      </c>
      <c r="E38" s="682">
        <v>0</v>
      </c>
      <c r="F38" s="721">
        <v>3</v>
      </c>
      <c r="G38" s="614">
        <v>0</v>
      </c>
      <c r="H38" s="614">
        <v>0</v>
      </c>
      <c r="I38" s="682">
        <v>0</v>
      </c>
      <c r="J38" s="682">
        <v>135</v>
      </c>
      <c r="K38" s="1253" t="s">
        <v>366</v>
      </c>
    </row>
    <row r="39" spans="1:11">
      <c r="A39" s="2922" t="s">
        <v>1027</v>
      </c>
      <c r="B39" s="2916"/>
      <c r="C39" s="614"/>
      <c r="D39" s="614"/>
      <c r="E39" s="682"/>
      <c r="F39" s="721"/>
      <c r="G39" s="614"/>
      <c r="H39" s="614"/>
      <c r="I39" s="682"/>
      <c r="J39" s="682"/>
      <c r="K39" s="1253" t="s">
        <v>374</v>
      </c>
    </row>
    <row r="40" spans="1:11" ht="15" customHeight="1">
      <c r="A40" s="2905" t="s">
        <v>1250</v>
      </c>
      <c r="B40" s="2906"/>
      <c r="C40" s="719">
        <f>SUM(C31:C39)</f>
        <v>1</v>
      </c>
      <c r="D40" s="719">
        <f t="shared" ref="D40:J40" si="2">SUM(D31:D39)</f>
        <v>0</v>
      </c>
      <c r="E40" s="719">
        <f t="shared" si="2"/>
        <v>0</v>
      </c>
      <c r="F40" s="719">
        <f t="shared" si="2"/>
        <v>3</v>
      </c>
      <c r="G40" s="719">
        <f t="shared" si="2"/>
        <v>0</v>
      </c>
      <c r="H40" s="719">
        <f t="shared" si="2"/>
        <v>0</v>
      </c>
      <c r="I40" s="719">
        <f t="shared" si="2"/>
        <v>0</v>
      </c>
      <c r="J40" s="719">
        <f t="shared" si="2"/>
        <v>135</v>
      </c>
      <c r="K40" s="1253" t="s">
        <v>375</v>
      </c>
    </row>
    <row r="41" spans="1:11" ht="15" customHeight="1"/>
    <row r="42" spans="1:11" ht="15" customHeight="1">
      <c r="A42" s="2918" t="s">
        <v>1109</v>
      </c>
      <c r="B42" s="2916"/>
      <c r="C42" s="616"/>
      <c r="D42" s="616"/>
      <c r="E42" s="682"/>
      <c r="F42" s="682"/>
      <c r="G42" s="616"/>
      <c r="H42" s="616"/>
      <c r="I42" s="682"/>
      <c r="J42" s="682"/>
      <c r="K42" s="1253" t="s">
        <v>383</v>
      </c>
    </row>
    <row r="43" spans="1:11" ht="16.5" customHeight="1">
      <c r="A43" s="2918" t="s">
        <v>1110</v>
      </c>
      <c r="B43" s="2916"/>
      <c r="C43" s="616"/>
      <c r="D43" s="616"/>
      <c r="E43" s="682"/>
      <c r="F43" s="682"/>
      <c r="G43" s="616"/>
      <c r="H43" s="616"/>
      <c r="I43" s="682"/>
      <c r="J43" s="682"/>
      <c r="K43" s="1253" t="s">
        <v>1185</v>
      </c>
    </row>
    <row r="44" spans="1:11" ht="15" customHeight="1">
      <c r="A44" s="2918" t="s">
        <v>1111</v>
      </c>
      <c r="B44" s="2916"/>
      <c r="C44" s="616"/>
      <c r="D44" s="616"/>
      <c r="E44" s="682"/>
      <c r="F44" s="682"/>
      <c r="G44" s="616"/>
      <c r="H44" s="616"/>
      <c r="I44" s="682"/>
      <c r="J44" s="682"/>
      <c r="K44" s="1253" t="s">
        <v>1193</v>
      </c>
    </row>
    <row r="45" spans="1:11" ht="15" customHeight="1">
      <c r="A45" s="2907" t="s">
        <v>376</v>
      </c>
      <c r="B45" s="2906"/>
      <c r="C45" s="719">
        <f>SUM(C42:C44)</f>
        <v>0</v>
      </c>
      <c r="D45" s="719">
        <f t="shared" ref="D45:J45" si="3">SUM(D42:D44)</f>
        <v>0</v>
      </c>
      <c r="E45" s="719">
        <f t="shared" si="3"/>
        <v>0</v>
      </c>
      <c r="F45" s="719">
        <f t="shared" si="3"/>
        <v>0</v>
      </c>
      <c r="G45" s="719">
        <f t="shared" si="3"/>
        <v>0</v>
      </c>
      <c r="H45" s="719">
        <f t="shared" si="3"/>
        <v>0</v>
      </c>
      <c r="I45" s="719">
        <f t="shared" si="3"/>
        <v>0</v>
      </c>
      <c r="J45" s="719">
        <f t="shared" si="3"/>
        <v>0</v>
      </c>
      <c r="K45" s="1253" t="s">
        <v>1194</v>
      </c>
    </row>
    <row r="46" spans="1:11" ht="15" customHeight="1"/>
    <row r="47" spans="1:11" ht="15" customHeight="1">
      <c r="A47" s="2918" t="s">
        <v>1112</v>
      </c>
      <c r="B47" s="2916"/>
      <c r="C47" s="616"/>
      <c r="D47" s="616"/>
      <c r="E47" s="682"/>
      <c r="F47" s="682"/>
      <c r="G47" s="616"/>
      <c r="H47" s="616"/>
      <c r="I47" s="682"/>
      <c r="J47" s="682"/>
      <c r="K47" s="1253" t="s">
        <v>1203</v>
      </c>
    </row>
    <row r="48" spans="1:11" ht="15" customHeight="1">
      <c r="A48" s="2918" t="s">
        <v>1113</v>
      </c>
      <c r="B48" s="2916"/>
      <c r="C48" s="616"/>
      <c r="D48" s="616"/>
      <c r="E48" s="682"/>
      <c r="F48" s="682"/>
      <c r="G48" s="616"/>
      <c r="H48" s="616"/>
      <c r="I48" s="682"/>
      <c r="J48" s="682"/>
      <c r="K48" s="1253" t="s">
        <v>1395</v>
      </c>
    </row>
    <row r="49" spans="1:11" ht="14.25" customHeight="1">
      <c r="A49" s="2918" t="s">
        <v>1114</v>
      </c>
      <c r="B49" s="2916"/>
      <c r="C49" s="616"/>
      <c r="D49" s="616"/>
      <c r="E49" s="682"/>
      <c r="F49" s="682"/>
      <c r="G49" s="616"/>
      <c r="H49" s="616"/>
      <c r="I49" s="682"/>
      <c r="J49" s="682"/>
      <c r="K49" s="1253" t="s">
        <v>1396</v>
      </c>
    </row>
    <row r="50" spans="1:11">
      <c r="A50" s="2918" t="s">
        <v>1945</v>
      </c>
      <c r="B50" s="2916"/>
      <c r="C50" s="616"/>
      <c r="D50" s="616"/>
      <c r="E50" s="682"/>
      <c r="F50" s="682"/>
      <c r="G50" s="616"/>
      <c r="H50" s="616"/>
      <c r="I50" s="682"/>
      <c r="J50" s="682"/>
      <c r="K50" s="1253" t="s">
        <v>1344</v>
      </c>
    </row>
    <row r="51" spans="1:11">
      <c r="A51" s="2918" t="s">
        <v>451</v>
      </c>
      <c r="B51" s="2916"/>
      <c r="C51" s="616"/>
      <c r="D51" s="616"/>
      <c r="E51" s="682"/>
      <c r="F51" s="682"/>
      <c r="G51" s="616"/>
      <c r="H51" s="616"/>
      <c r="I51" s="682"/>
      <c r="J51" s="682"/>
      <c r="K51" s="1253" t="s">
        <v>1350</v>
      </c>
    </row>
    <row r="52" spans="1:11" ht="15" customHeight="1">
      <c r="A52" s="2918" t="s">
        <v>1947</v>
      </c>
      <c r="B52" s="2916"/>
      <c r="C52" s="616"/>
      <c r="D52" s="616"/>
      <c r="E52" s="682"/>
      <c r="F52" s="682"/>
      <c r="G52" s="616"/>
      <c r="H52" s="616"/>
      <c r="I52" s="682"/>
      <c r="J52" s="682"/>
      <c r="K52" s="1253" t="s">
        <v>1572</v>
      </c>
    </row>
    <row r="53" spans="1:11" ht="15" customHeight="1">
      <c r="A53" s="2908" t="s">
        <v>1195</v>
      </c>
      <c r="B53" s="2882"/>
      <c r="C53" s="719">
        <f>SUM(C47:C52)</f>
        <v>0</v>
      </c>
      <c r="D53" s="719">
        <f t="shared" ref="D53:J53" si="4">SUM(D47:D52)</f>
        <v>0</v>
      </c>
      <c r="E53" s="719">
        <f t="shared" si="4"/>
        <v>0</v>
      </c>
      <c r="F53" s="719">
        <f t="shared" si="4"/>
        <v>0</v>
      </c>
      <c r="G53" s="719">
        <f t="shared" si="4"/>
        <v>0</v>
      </c>
      <c r="H53" s="719">
        <f t="shared" si="4"/>
        <v>0</v>
      </c>
      <c r="I53" s="719">
        <f t="shared" si="4"/>
        <v>0</v>
      </c>
      <c r="J53" s="719">
        <f t="shared" si="4"/>
        <v>0</v>
      </c>
      <c r="K53" s="1253" t="s">
        <v>1573</v>
      </c>
    </row>
    <row r="54" spans="1:11" ht="15" customHeight="1"/>
    <row r="55" spans="1:11" ht="15" customHeight="1">
      <c r="A55" s="2918" t="s">
        <v>1948</v>
      </c>
      <c r="B55" s="2916"/>
      <c r="C55" s="616"/>
      <c r="D55" s="616"/>
      <c r="E55" s="682"/>
      <c r="F55" s="682"/>
      <c r="G55" s="616"/>
      <c r="H55" s="616"/>
      <c r="I55" s="682"/>
      <c r="J55" s="682"/>
      <c r="K55" s="1253" t="s">
        <v>1583</v>
      </c>
    </row>
    <row r="56" spans="1:11" ht="15" customHeight="1">
      <c r="A56" s="2918" t="s">
        <v>1949</v>
      </c>
      <c r="B56" s="2916"/>
      <c r="C56" s="616"/>
      <c r="D56" s="616"/>
      <c r="E56" s="682"/>
      <c r="F56" s="682"/>
      <c r="G56" s="616"/>
      <c r="H56" s="616"/>
      <c r="I56" s="682"/>
      <c r="J56" s="682"/>
      <c r="K56" s="1253" t="s">
        <v>1589</v>
      </c>
    </row>
    <row r="57" spans="1:11" ht="15" customHeight="1">
      <c r="A57" s="2918" t="s">
        <v>1950</v>
      </c>
      <c r="B57" s="2916"/>
      <c r="C57" s="616"/>
      <c r="D57" s="616"/>
      <c r="E57" s="682"/>
      <c r="F57" s="682"/>
      <c r="G57" s="616"/>
      <c r="H57" s="616"/>
      <c r="I57" s="682"/>
      <c r="J57" s="682"/>
      <c r="K57" s="1253" t="s">
        <v>1594</v>
      </c>
    </row>
    <row r="58" spans="1:11">
      <c r="A58" s="2918" t="s">
        <v>2232</v>
      </c>
      <c r="B58" s="2916"/>
      <c r="C58" s="616"/>
      <c r="D58" s="616"/>
      <c r="E58" s="682"/>
      <c r="F58" s="682"/>
      <c r="G58" s="616"/>
      <c r="H58" s="616"/>
      <c r="I58" s="682"/>
      <c r="J58" s="682"/>
      <c r="K58" s="1253" t="s">
        <v>1791</v>
      </c>
    </row>
    <row r="59" spans="1:11" ht="15" customHeight="1">
      <c r="A59" s="2918" t="s">
        <v>141</v>
      </c>
      <c r="B59" s="2916"/>
      <c r="C59" s="616"/>
      <c r="D59" s="616"/>
      <c r="E59" s="682"/>
      <c r="F59" s="682"/>
      <c r="G59" s="616"/>
      <c r="H59" s="616"/>
      <c r="I59" s="682"/>
      <c r="J59" s="682"/>
      <c r="K59" s="1253" t="s">
        <v>1600</v>
      </c>
    </row>
    <row r="60" spans="1:11">
      <c r="A60" s="2918" t="s">
        <v>1433</v>
      </c>
      <c r="B60" s="2916"/>
      <c r="C60" s="616"/>
      <c r="D60" s="616"/>
      <c r="E60" s="682"/>
      <c r="F60" s="682"/>
      <c r="G60" s="616"/>
      <c r="H60" s="616"/>
      <c r="I60" s="682"/>
      <c r="J60" s="682"/>
      <c r="K60" s="1253" t="s">
        <v>723</v>
      </c>
    </row>
    <row r="61" spans="1:11" ht="25.5" customHeight="1">
      <c r="A61" s="2918" t="s">
        <v>1895</v>
      </c>
      <c r="B61" s="2916"/>
      <c r="C61" s="616"/>
      <c r="D61" s="616"/>
      <c r="E61" s="682"/>
      <c r="F61" s="682"/>
      <c r="G61" s="616"/>
      <c r="H61" s="616"/>
      <c r="I61" s="682"/>
      <c r="J61" s="682"/>
      <c r="K61" s="1253" t="s">
        <v>419</v>
      </c>
    </row>
    <row r="62" spans="1:11" ht="15" customHeight="1">
      <c r="A62" s="2918" t="s">
        <v>1053</v>
      </c>
      <c r="B62" s="2916"/>
      <c r="C62" s="616"/>
      <c r="D62" s="616"/>
      <c r="E62" s="682"/>
      <c r="F62" s="682"/>
      <c r="G62" s="616"/>
      <c r="H62" s="616"/>
      <c r="I62" s="682"/>
      <c r="J62" s="682"/>
      <c r="K62" s="1253" t="s">
        <v>867</v>
      </c>
    </row>
    <row r="63" spans="1:11" ht="15" customHeight="1">
      <c r="A63" s="2921" t="s">
        <v>1896</v>
      </c>
      <c r="B63" s="2916"/>
      <c r="C63" s="616"/>
      <c r="D63" s="616"/>
      <c r="E63" s="682"/>
      <c r="F63" s="682"/>
      <c r="G63" s="616"/>
      <c r="H63" s="616"/>
      <c r="I63" s="682"/>
      <c r="J63" s="682"/>
      <c r="K63" s="1253" t="s">
        <v>2113</v>
      </c>
    </row>
    <row r="64" spans="1:11" ht="15" customHeight="1">
      <c r="A64" s="2918" t="s">
        <v>1897</v>
      </c>
      <c r="B64" s="2916"/>
      <c r="C64" s="616"/>
      <c r="D64" s="616"/>
      <c r="E64" s="682"/>
      <c r="F64" s="682"/>
      <c r="G64" s="616"/>
      <c r="H64" s="616"/>
      <c r="I64" s="682"/>
      <c r="J64" s="682"/>
      <c r="K64" s="1253" t="s">
        <v>2119</v>
      </c>
    </row>
    <row r="65" spans="1:11">
      <c r="A65" s="2918" t="s">
        <v>1898</v>
      </c>
      <c r="B65" s="2916"/>
      <c r="C65" s="724"/>
      <c r="D65" s="724"/>
      <c r="E65" s="682"/>
      <c r="F65" s="722"/>
      <c r="G65" s="724"/>
      <c r="H65" s="724"/>
      <c r="I65" s="682"/>
      <c r="J65" s="682"/>
      <c r="K65" s="1253" t="s">
        <v>2125</v>
      </c>
    </row>
    <row r="66" spans="1:11" ht="15" customHeight="1">
      <c r="A66" s="2908" t="s">
        <v>1574</v>
      </c>
      <c r="B66" s="2882"/>
      <c r="C66" s="719">
        <f t="shared" ref="C66:J66" si="5">SUM(C55:C65)</f>
        <v>0</v>
      </c>
      <c r="D66" s="719">
        <f t="shared" si="5"/>
        <v>0</v>
      </c>
      <c r="E66" s="719">
        <f t="shared" si="5"/>
        <v>0</v>
      </c>
      <c r="F66" s="719">
        <f t="shared" si="5"/>
        <v>0</v>
      </c>
      <c r="G66" s="719">
        <f t="shared" si="5"/>
        <v>0</v>
      </c>
      <c r="H66" s="719">
        <f t="shared" si="5"/>
        <v>0</v>
      </c>
      <c r="I66" s="719">
        <f t="shared" si="5"/>
        <v>0</v>
      </c>
      <c r="J66" s="719">
        <f t="shared" si="5"/>
        <v>0</v>
      </c>
      <c r="K66" s="1253" t="s">
        <v>2126</v>
      </c>
    </row>
    <row r="67" spans="1:11" ht="15" customHeight="1"/>
    <row r="68" spans="1:11" ht="15" customHeight="1">
      <c r="A68" s="2918" t="s">
        <v>1899</v>
      </c>
      <c r="B68" s="2916"/>
      <c r="C68" s="617"/>
      <c r="D68" s="617"/>
      <c r="E68" s="682"/>
      <c r="F68" s="723"/>
      <c r="G68" s="617"/>
      <c r="H68" s="617"/>
      <c r="I68" s="682"/>
      <c r="J68" s="682"/>
      <c r="K68" s="1253" t="s">
        <v>1640</v>
      </c>
    </row>
    <row r="69" spans="1:11" ht="15" customHeight="1">
      <c r="A69" s="2918" t="s">
        <v>1900</v>
      </c>
      <c r="B69" s="2916"/>
      <c r="C69" s="616"/>
      <c r="D69" s="616"/>
      <c r="E69" s="682"/>
      <c r="F69" s="682"/>
      <c r="G69" s="616"/>
      <c r="H69" s="616"/>
      <c r="I69" s="682"/>
      <c r="J69" s="682"/>
      <c r="K69" s="1253" t="s">
        <v>1648</v>
      </c>
    </row>
    <row r="70" spans="1:11" ht="15" customHeight="1">
      <c r="A70" s="2908" t="s">
        <v>2127</v>
      </c>
      <c r="B70" s="2882"/>
      <c r="C70" s="719">
        <f>SUM(C68:C69)</f>
        <v>0</v>
      </c>
      <c r="D70" s="719">
        <f t="shared" ref="D70:J70" si="6">SUM(D68:D69)</f>
        <v>0</v>
      </c>
      <c r="E70" s="719">
        <f t="shared" si="6"/>
        <v>0</v>
      </c>
      <c r="F70" s="719">
        <f t="shared" si="6"/>
        <v>0</v>
      </c>
      <c r="G70" s="719">
        <f t="shared" si="6"/>
        <v>0</v>
      </c>
      <c r="H70" s="719">
        <f t="shared" si="6"/>
        <v>0</v>
      </c>
      <c r="I70" s="719">
        <f t="shared" si="6"/>
        <v>0</v>
      </c>
      <c r="J70" s="719">
        <f t="shared" si="6"/>
        <v>0</v>
      </c>
      <c r="K70" s="1253" t="s">
        <v>1649</v>
      </c>
    </row>
    <row r="72" spans="1:11">
      <c r="A72" s="2915" t="s">
        <v>1434</v>
      </c>
      <c r="B72" s="2916"/>
      <c r="C72" s="725"/>
      <c r="D72" s="725"/>
      <c r="E72" s="682"/>
      <c r="F72" s="682"/>
      <c r="G72" s="725"/>
      <c r="H72" s="725"/>
      <c r="I72" s="682"/>
      <c r="J72" s="682"/>
      <c r="K72" s="1253" t="s">
        <v>1658</v>
      </c>
    </row>
    <row r="73" spans="1:11" ht="12.75" customHeight="1">
      <c r="A73" s="2915" t="s">
        <v>2189</v>
      </c>
      <c r="B73" s="2916"/>
      <c r="C73" s="616"/>
      <c r="D73" s="616"/>
      <c r="E73" s="682"/>
      <c r="F73" s="682"/>
      <c r="G73" s="616"/>
      <c r="H73" s="616"/>
      <c r="I73" s="682"/>
      <c r="J73" s="682"/>
      <c r="K73" s="1253" t="s">
        <v>302</v>
      </c>
    </row>
    <row r="74" spans="1:11" ht="15" customHeight="1">
      <c r="A74" s="2918" t="s">
        <v>2190</v>
      </c>
      <c r="B74" s="2916"/>
      <c r="C74" s="616"/>
      <c r="D74" s="616"/>
      <c r="E74" s="682"/>
      <c r="F74" s="682"/>
      <c r="G74" s="616"/>
      <c r="H74" s="616"/>
      <c r="I74" s="682"/>
      <c r="J74" s="682"/>
      <c r="K74" s="1253" t="s">
        <v>309</v>
      </c>
    </row>
    <row r="75" spans="1:11" ht="15" customHeight="1">
      <c r="A75" s="2918" t="s">
        <v>2191</v>
      </c>
      <c r="B75" s="2916"/>
      <c r="C75" s="616"/>
      <c r="D75" s="616"/>
      <c r="E75" s="682"/>
      <c r="F75" s="682"/>
      <c r="G75" s="616"/>
      <c r="H75" s="616"/>
      <c r="I75" s="682"/>
      <c r="J75" s="682"/>
      <c r="K75" s="1253" t="s">
        <v>315</v>
      </c>
    </row>
    <row r="76" spans="1:11" ht="15.75" customHeight="1">
      <c r="A76" s="2913" t="s">
        <v>1650</v>
      </c>
      <c r="B76" s="2914"/>
      <c r="C76" s="719">
        <f>SUM(C72:C75)</f>
        <v>0</v>
      </c>
      <c r="D76" s="719">
        <f t="shared" ref="D76:I76" si="7">SUM(D72:D75)</f>
        <v>0</v>
      </c>
      <c r="E76" s="719">
        <f t="shared" si="7"/>
        <v>0</v>
      </c>
      <c r="F76" s="719">
        <f t="shared" si="7"/>
        <v>0</v>
      </c>
      <c r="G76" s="719">
        <f t="shared" si="7"/>
        <v>0</v>
      </c>
      <c r="H76" s="719">
        <f t="shared" si="7"/>
        <v>0</v>
      </c>
      <c r="I76" s="719">
        <f t="shared" si="7"/>
        <v>0</v>
      </c>
      <c r="J76" s="719">
        <f>SUM(J72:J75)</f>
        <v>0</v>
      </c>
      <c r="K76" s="1253" t="s">
        <v>316</v>
      </c>
    </row>
    <row r="77" spans="1:11" ht="15" customHeight="1"/>
    <row r="78" spans="1:11" ht="15" customHeight="1">
      <c r="A78" s="2917" t="s">
        <v>1430</v>
      </c>
      <c r="B78" s="2916"/>
      <c r="C78" s="725"/>
      <c r="D78" s="725"/>
      <c r="E78" s="682"/>
      <c r="F78" s="682"/>
      <c r="G78" s="725"/>
      <c r="H78" s="725"/>
      <c r="I78" s="682"/>
      <c r="J78" s="682"/>
      <c r="K78" s="1253" t="s">
        <v>1800</v>
      </c>
    </row>
    <row r="79" spans="1:11">
      <c r="A79" s="2918" t="s">
        <v>1431</v>
      </c>
      <c r="B79" s="2916"/>
      <c r="C79" s="616"/>
      <c r="D79" s="616"/>
      <c r="E79" s="682"/>
      <c r="F79" s="682"/>
      <c r="G79" s="616"/>
      <c r="H79" s="616"/>
      <c r="I79" s="682"/>
      <c r="J79" s="682"/>
      <c r="K79" s="1253" t="s">
        <v>2220</v>
      </c>
    </row>
    <row r="80" spans="1:11" ht="12.75" customHeight="1">
      <c r="A80" s="2917" t="s">
        <v>233</v>
      </c>
      <c r="B80" s="2916"/>
      <c r="C80" s="725"/>
      <c r="D80" s="725"/>
      <c r="E80" s="682"/>
      <c r="F80" s="682"/>
      <c r="G80" s="725"/>
      <c r="H80" s="725"/>
      <c r="I80" s="682"/>
      <c r="J80" s="682"/>
      <c r="K80" s="1253" t="s">
        <v>2227</v>
      </c>
    </row>
    <row r="81" spans="1:11" ht="15" customHeight="1">
      <c r="A81" s="2919" t="s">
        <v>234</v>
      </c>
      <c r="B81" s="2916"/>
      <c r="C81" s="725"/>
      <c r="D81" s="725"/>
      <c r="E81" s="682"/>
      <c r="F81" s="682"/>
      <c r="G81" s="725"/>
      <c r="H81" s="725"/>
      <c r="I81" s="682"/>
      <c r="J81" s="682"/>
      <c r="K81" s="1253" t="s">
        <v>1065</v>
      </c>
    </row>
    <row r="82" spans="1:11" ht="15" customHeight="1">
      <c r="A82" s="2915" t="s">
        <v>235</v>
      </c>
      <c r="B82" s="2916"/>
      <c r="C82" s="616"/>
      <c r="D82" s="616"/>
      <c r="E82" s="682"/>
      <c r="F82" s="682"/>
      <c r="G82" s="616"/>
      <c r="H82" s="616"/>
      <c r="I82" s="682"/>
      <c r="J82" s="682"/>
      <c r="K82" s="1253" t="s">
        <v>1807</v>
      </c>
    </row>
    <row r="83" spans="1:11" ht="17.25" customHeight="1">
      <c r="A83" s="2915" t="s">
        <v>1896</v>
      </c>
      <c r="B83" s="2916"/>
      <c r="C83" s="616"/>
      <c r="D83" s="616"/>
      <c r="E83" s="682"/>
      <c r="F83" s="682"/>
      <c r="G83" s="616"/>
      <c r="H83" s="616"/>
      <c r="I83" s="682"/>
      <c r="J83" s="682"/>
      <c r="K83" s="1253" t="s">
        <v>1812</v>
      </c>
    </row>
    <row r="84" spans="1:11" ht="15" customHeight="1">
      <c r="A84" s="2915" t="s">
        <v>236</v>
      </c>
      <c r="B84" s="2916"/>
      <c r="C84" s="616"/>
      <c r="D84" s="616"/>
      <c r="E84" s="682"/>
      <c r="F84" s="682"/>
      <c r="G84" s="616"/>
      <c r="H84" s="616"/>
      <c r="I84" s="682"/>
      <c r="J84" s="682"/>
      <c r="K84" s="1253" t="s">
        <v>1073</v>
      </c>
    </row>
    <row r="85" spans="1:11" ht="15" customHeight="1">
      <c r="A85" s="2918" t="s">
        <v>237</v>
      </c>
      <c r="B85" s="2916"/>
      <c r="C85" s="616"/>
      <c r="D85" s="616"/>
      <c r="E85" s="682"/>
      <c r="F85" s="682"/>
      <c r="G85" s="616"/>
      <c r="H85" s="616"/>
      <c r="I85" s="682"/>
      <c r="J85" s="682"/>
      <c r="K85" s="1253" t="s">
        <v>1079</v>
      </c>
    </row>
    <row r="86" spans="1:11" ht="15" customHeight="1">
      <c r="A86" s="2908" t="s">
        <v>1080</v>
      </c>
      <c r="B86" s="2882"/>
      <c r="C86" s="719">
        <f t="shared" ref="C86:J86" si="8">SUM(C78:C85)</f>
        <v>0</v>
      </c>
      <c r="D86" s="719">
        <f t="shared" si="8"/>
        <v>0</v>
      </c>
      <c r="E86" s="719">
        <f t="shared" si="8"/>
        <v>0</v>
      </c>
      <c r="F86" s="719">
        <f t="shared" si="8"/>
        <v>0</v>
      </c>
      <c r="G86" s="719">
        <f t="shared" si="8"/>
        <v>0</v>
      </c>
      <c r="H86" s="719">
        <f t="shared" si="8"/>
        <v>0</v>
      </c>
      <c r="I86" s="719">
        <f t="shared" si="8"/>
        <v>0</v>
      </c>
      <c r="J86" s="719">
        <f t="shared" si="8"/>
        <v>0</v>
      </c>
      <c r="K86" s="1253" t="s">
        <v>1081</v>
      </c>
    </row>
    <row r="87" spans="1:11" ht="15" customHeight="1"/>
    <row r="88" spans="1:11">
      <c r="A88" s="2918" t="s">
        <v>238</v>
      </c>
      <c r="B88" s="2916"/>
      <c r="C88" s="616"/>
      <c r="D88" s="616"/>
      <c r="E88" s="682"/>
      <c r="F88" s="682"/>
      <c r="G88" s="616"/>
      <c r="H88" s="616"/>
      <c r="I88" s="682"/>
      <c r="J88" s="682"/>
      <c r="K88" s="1253" t="s">
        <v>685</v>
      </c>
    </row>
    <row r="89" spans="1:11" ht="15" customHeight="1">
      <c r="A89" s="2918" t="s">
        <v>239</v>
      </c>
      <c r="B89" s="2916"/>
      <c r="C89" s="616"/>
      <c r="D89" s="616"/>
      <c r="E89" s="682"/>
      <c r="F89" s="682"/>
      <c r="G89" s="616"/>
      <c r="H89" s="616"/>
      <c r="I89" s="682"/>
      <c r="J89" s="682"/>
      <c r="K89" s="1253" t="s">
        <v>693</v>
      </c>
    </row>
    <row r="90" spans="1:11" ht="15" customHeight="1">
      <c r="A90" s="2908" t="s">
        <v>1082</v>
      </c>
      <c r="B90" s="2882"/>
      <c r="C90" s="719">
        <f>SUM(C88:C89)</f>
        <v>0</v>
      </c>
      <c r="D90" s="719">
        <f t="shared" ref="D90:J90" si="9">SUM(D88:D89)</f>
        <v>0</v>
      </c>
      <c r="E90" s="719">
        <f t="shared" si="9"/>
        <v>0</v>
      </c>
      <c r="F90" s="719">
        <f t="shared" si="9"/>
        <v>0</v>
      </c>
      <c r="G90" s="719">
        <f t="shared" si="9"/>
        <v>0</v>
      </c>
      <c r="H90" s="719">
        <f t="shared" si="9"/>
        <v>0</v>
      </c>
      <c r="I90" s="719">
        <f t="shared" si="9"/>
        <v>0</v>
      </c>
      <c r="J90" s="719">
        <f t="shared" si="9"/>
        <v>0</v>
      </c>
      <c r="K90" s="1253" t="s">
        <v>694</v>
      </c>
    </row>
    <row r="92" spans="1:11" ht="15" customHeight="1">
      <c r="A92" s="2908" t="s">
        <v>696</v>
      </c>
      <c r="B92" s="2882"/>
      <c r="C92" s="719">
        <f>C21+C29+C40+C45+C53+C66+C70+C76+C86+C90</f>
        <v>2</v>
      </c>
      <c r="D92" s="719">
        <f t="shared" ref="D92:J92" si="10">D21+D29+D40+D45+D53+D66+D70+D76+D86+D90</f>
        <v>0</v>
      </c>
      <c r="E92" s="719">
        <f t="shared" si="10"/>
        <v>1</v>
      </c>
      <c r="F92" s="719">
        <f t="shared" si="10"/>
        <v>7</v>
      </c>
      <c r="G92" s="719">
        <f t="shared" si="10"/>
        <v>0</v>
      </c>
      <c r="H92" s="719">
        <f t="shared" si="10"/>
        <v>0</v>
      </c>
      <c r="I92" s="719">
        <f t="shared" si="10"/>
        <v>423</v>
      </c>
      <c r="J92" s="719">
        <f t="shared" si="10"/>
        <v>1031</v>
      </c>
      <c r="K92" s="1256" t="s">
        <v>697</v>
      </c>
    </row>
    <row r="94" spans="1:11" ht="15" customHeight="1">
      <c r="A94" s="2920" t="s">
        <v>1837</v>
      </c>
      <c r="B94" s="2379"/>
      <c r="C94" s="2379"/>
      <c r="D94" s="2379"/>
      <c r="E94" s="2379"/>
      <c r="F94" s="2379"/>
      <c r="G94" s="2379"/>
      <c r="H94" s="2379"/>
      <c r="I94" s="2379"/>
      <c r="J94" s="2379"/>
    </row>
  </sheetData>
  <sheetProtection algorithmName="SHA-512" hashValue="RD6lfUwz67eK6BgoxF8UA1TSkRIFN92ih8WgpU54bahLnZmls5dCwGX0ZYncVD0GpI34Ipnp1DBvQ+L+Kq9IEw==" saltValue="7xMS6lia7t3ZjOAHA37ksQ==" spinCount="100000" sheet="1" objects="1" scenarios="1"/>
  <mergeCells count="87">
    <mergeCell ref="C1:D1"/>
    <mergeCell ref="D13:D15"/>
    <mergeCell ref="A20:B20"/>
    <mergeCell ref="A3:J3"/>
    <mergeCell ref="A9:H9"/>
    <mergeCell ref="H14:H15"/>
    <mergeCell ref="F13:F15"/>
    <mergeCell ref="A5:J5"/>
    <mergeCell ref="C13:C15"/>
    <mergeCell ref="C12:D12"/>
    <mergeCell ref="A19:B19"/>
    <mergeCell ref="A16:B16"/>
    <mergeCell ref="I14:I15"/>
    <mergeCell ref="A18:B18"/>
    <mergeCell ref="A12:B15"/>
    <mergeCell ref="E13:E15"/>
    <mergeCell ref="J14:J15"/>
    <mergeCell ref="G14:G15"/>
    <mergeCell ref="A6:J6"/>
    <mergeCell ref="I13:J13"/>
    <mergeCell ref="G13:H13"/>
    <mergeCell ref="G12:J12"/>
    <mergeCell ref="E12:F12"/>
    <mergeCell ref="A49:B49"/>
    <mergeCell ref="A45:B45"/>
    <mergeCell ref="A48:B48"/>
    <mergeCell ref="A47:B47"/>
    <mergeCell ref="A56:B56"/>
    <mergeCell ref="A55:B55"/>
    <mergeCell ref="A53:B53"/>
    <mergeCell ref="A50:B50"/>
    <mergeCell ref="A51:B51"/>
    <mergeCell ref="A52:B52"/>
    <mergeCell ref="A17:B17"/>
    <mergeCell ref="A35:B35"/>
    <mergeCell ref="A27:B27"/>
    <mergeCell ref="A32:B32"/>
    <mergeCell ref="A31:B31"/>
    <mergeCell ref="A28:B28"/>
    <mergeCell ref="A29:B29"/>
    <mergeCell ref="A34:B34"/>
    <mergeCell ref="A33:B33"/>
    <mergeCell ref="A23:B23"/>
    <mergeCell ref="A21:B21"/>
    <mergeCell ref="A24:B24"/>
    <mergeCell ref="A26:B26"/>
    <mergeCell ref="A25:B25"/>
    <mergeCell ref="A36:B36"/>
    <mergeCell ref="A43:B43"/>
    <mergeCell ref="A44:B44"/>
    <mergeCell ref="A37:B37"/>
    <mergeCell ref="A42:B42"/>
    <mergeCell ref="A40:B40"/>
    <mergeCell ref="A39:B39"/>
    <mergeCell ref="A38:B38"/>
    <mergeCell ref="A66:B66"/>
    <mergeCell ref="A63:B63"/>
    <mergeCell ref="A64:B64"/>
    <mergeCell ref="A65:B65"/>
    <mergeCell ref="A68:B68"/>
    <mergeCell ref="A62:B62"/>
    <mergeCell ref="A61:B61"/>
    <mergeCell ref="A59:B59"/>
    <mergeCell ref="A58:B58"/>
    <mergeCell ref="A57:B57"/>
    <mergeCell ref="A60:B60"/>
    <mergeCell ref="A94:J94"/>
    <mergeCell ref="A90:B90"/>
    <mergeCell ref="A84:B84"/>
    <mergeCell ref="A85:B85"/>
    <mergeCell ref="A92:B92"/>
    <mergeCell ref="A89:B89"/>
    <mergeCell ref="A86:B86"/>
    <mergeCell ref="A88:B88"/>
    <mergeCell ref="A83:B83"/>
    <mergeCell ref="A80:B80"/>
    <mergeCell ref="A82:B82"/>
    <mergeCell ref="A79:B79"/>
    <mergeCell ref="A69:B69"/>
    <mergeCell ref="A70:B70"/>
    <mergeCell ref="A74:B74"/>
    <mergeCell ref="A72:B72"/>
    <mergeCell ref="A73:B73"/>
    <mergeCell ref="A81:B81"/>
    <mergeCell ref="A78:B78"/>
    <mergeCell ref="A76:B76"/>
    <mergeCell ref="A75:B75"/>
  </mergeCells>
  <dataValidations count="2">
    <dataValidation type="list" allowBlank="1" showInputMessage="1" showErrorMessage="1" errorTitle="Erreur de saisie" error="Vous devez saisir une valeur dans la liste" sqref="I9">
      <formula1>lstReponse</formula1>
    </dataValidation>
    <dataValidation type="whole" allowBlank="1" showInputMessage="1" showErrorMessage="1" errorTitle="Erreur de saisie" error="Vous devez saisir une valeur entière" sqref="C16 D16 E16 F16 G16 H16 I16 J16 C17 D17 E17 F17 G17 H17 I17 J17 C18 D18 E18 F18 G18 H18 I18 J18 C19 D19 E19 F19 G19 H19 I19 J19 C20 D20 E20 F20 G20 H20 I20 J20 C23 D23 E23 F23 G23 H23 I23 J23 C24 D24 E24 F24 G24 H24 I24 J24 C25 D25 E25 F25 G25 H25 I25 J25 C26 D26 E26 F26 G26 H26 I26 J26 C27 D27 E27 F27 G27 H27 I27 J27 C28 D28 E28 F28 G28 H28 I28 J28 C31 D31 E31 F31 G31 H31 I31 J31 C32 D32 E32 F32 G32 H32 I32 J32 C33 D33 E33 F33 G33 H33 I33 J33 C34 D34 E34 F34 G34 H34 I34 J34 C35 D35 E35 F35 G35 H35 I35 J35 C36 D36 E36 F36 G36 H36 I36 J36 C37 D37 E37 F37 G37 H37 I37 J37 C38 D38 E38 F38 G38 H38 I38 J38 C39 D39 E39 F39 G39 H39 I39 J39 C42 D42 E42 F42 G42 H42 I42 J42 C43 D43 E43 F43 G43 H43 I43 J43 C44 D44 E44 F44 G44 H44 I44 J44 C47 D47 E47 F47 G47 H47 I47 J47 C48 D48 E48 F48 G48 H48 I48 J48 C49 D49 E49 F49 G49 H49 I49 J49 C50 D50 E50 F50 G50 H50 I50 J50 C51 D51 E51 F51 G51 H51 I51 J51 C52 D52 E52 F52 G52 H52 I52 J52 C55 D55 E55 F55 G55 H55 I55 J55 C56 D56 E56 F56 G56 H56 I56 J56 C57 D57 E57 F57 G57 H57 I57 J57 C58 D58 E58 F58 G58 H58 I58 J58 C59 D59 E59 F59 G59 H59 I59 J59 C60 D60 E60 F60 G60 H60 I60 J60 C61 D61 E61 F61 G61 H61 I61 J61 C62 D62 E62 F62 G62 H62 I62 J62 C63 D63 E63 F63 G63 H63 I63 J63 C64 D64 E64 F64 G64 H64 I64 J64 C65 D65 E65 F65 G65 H65 I65 J65 C68 D68 E68 F68 G68 H68 I68 J68 C69 D69 E69 F69 G69 H69 I69 J69 C72 D72 E72 F72 G72 H72 I72 J72 C73 D73 E73 F73 G73 H73 I73 J73 C74 D74 E74 F74 G74 H74 I74 J74 C75 D75 E75 F75 G75 H75 I75 J75 C78 D78 E78 F78 G78 H78 I78 J78 C79 D79 E79 F79 G79 H79 I79 J79 C80 D80 E80 F80 G80 H80 I80 J80 C81 D81 E81 F81 G81 H81 I81 J81 C82 D82 E82 F82 G82 H82 I82 J82 C83 D83 E83 F83 G83 H83 I83 J83 C84 D84 E84 F84 G84 H84 I84 J84 C85 D85 E85 F85 G85 H85 I85 J85 C88 D88 E88 F88 G88 H88 I88 J88 C89 D89 E89 F89 G89 H89 I89 J89">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52" orientation="portrait" r:id="rId1"/>
  <headerFooter alignWithMargins="0">
    <oddFooter>&amp;LRSU 2020 - Présentation au CTP&amp;R&amp;P/&amp;N
&amp;A</oddFooter>
  </headerFooter>
  <rowBreaks count="1" manualBreakCount="1">
    <brk id="67" max="16383" man="1"/>
  </rowBreaks>
</worksheet>
</file>

<file path=xl/worksheets/sheet72.xml><?xml version="1.0" encoding="utf-8"?>
<worksheet xmlns="http://schemas.openxmlformats.org/spreadsheetml/2006/main" xmlns:r="http://schemas.openxmlformats.org/officeDocument/2006/relationships">
  <sheetPr codeName="Feuil64">
    <pageSetUpPr fitToPage="1"/>
  </sheetPr>
  <dimension ref="A1:E33"/>
  <sheetViews>
    <sheetView showGridLines="0" zoomScaleNormal="100" workbookViewId="0"/>
  </sheetViews>
  <sheetFormatPr baseColWidth="10" defaultColWidth="10.85546875" defaultRowHeight="12.75" customHeight="1"/>
  <cols>
    <col min="1" max="1" width="6.7109375" customWidth="1"/>
    <col min="2" max="2" width="42.42578125" customWidth="1"/>
    <col min="3" max="4" width="18" customWidth="1"/>
  </cols>
  <sheetData>
    <row r="1" spans="1:5" ht="17.100000000000001" customHeight="1">
      <c r="C1" s="1073" t="s">
        <v>958</v>
      </c>
    </row>
    <row r="2" spans="1:5" ht="13.5" thickBot="1"/>
    <row r="3" spans="1:5" ht="13.5" thickBot="1">
      <c r="A3" s="2678" t="s">
        <v>2557</v>
      </c>
      <c r="B3" s="2678"/>
      <c r="C3" s="2678"/>
      <c r="D3" s="2476"/>
    </row>
    <row r="5" spans="1:5" ht="25.5" customHeight="1">
      <c r="A5" s="2647" t="s">
        <v>2558</v>
      </c>
      <c r="B5" s="2966"/>
      <c r="C5" s="2966"/>
      <c r="D5" s="2424"/>
    </row>
    <row r="7" spans="1:5" ht="12.75" customHeight="1">
      <c r="A7" s="273" t="s">
        <v>319</v>
      </c>
      <c r="B7" s="411"/>
      <c r="C7" s="55"/>
      <c r="D7" s="272"/>
    </row>
    <row r="8" spans="1:5">
      <c r="C8" s="1257">
        <v>1</v>
      </c>
      <c r="D8" s="1224">
        <v>2</v>
      </c>
      <c r="E8" s="1193" t="s">
        <v>1307</v>
      </c>
    </row>
    <row r="9" spans="1:5" ht="22.5" customHeight="1">
      <c r="C9" s="810" t="s">
        <v>707</v>
      </c>
      <c r="D9" s="810" t="s">
        <v>708</v>
      </c>
      <c r="E9" s="1235" t="s">
        <v>232</v>
      </c>
    </row>
    <row r="10" spans="1:5" ht="42.75" customHeight="1">
      <c r="A10" s="2959" t="s">
        <v>320</v>
      </c>
      <c r="B10" s="99" t="s">
        <v>2559</v>
      </c>
      <c r="C10" s="726"/>
      <c r="D10" s="726"/>
      <c r="E10" s="1235">
        <v>11</v>
      </c>
    </row>
    <row r="11" spans="1:5" ht="33" customHeight="1">
      <c r="A11" s="2960"/>
      <c r="B11" s="103" t="s">
        <v>2560</v>
      </c>
      <c r="C11" s="727"/>
      <c r="D11" s="727"/>
      <c r="E11" s="1235">
        <v>12</v>
      </c>
    </row>
    <row r="12" spans="1:5" ht="30.75" customHeight="1">
      <c r="A12" s="2961"/>
      <c r="B12" s="926" t="s">
        <v>1450</v>
      </c>
      <c r="C12" s="727"/>
      <c r="D12" s="727"/>
      <c r="E12" s="1235">
        <v>13</v>
      </c>
    </row>
    <row r="13" spans="1:5" ht="27.75" customHeight="1">
      <c r="A13" s="2962" t="s">
        <v>321</v>
      </c>
      <c r="B13" s="927" t="s">
        <v>602</v>
      </c>
      <c r="C13" s="726"/>
      <c r="D13" s="726"/>
      <c r="E13" s="1235">
        <v>31</v>
      </c>
    </row>
    <row r="14" spans="1:5" ht="28.5" customHeight="1">
      <c r="A14" s="2963"/>
      <c r="B14" s="927" t="s">
        <v>1290</v>
      </c>
      <c r="C14" s="726"/>
      <c r="D14" s="726"/>
      <c r="E14" s="1267">
        <v>32</v>
      </c>
    </row>
    <row r="15" spans="1:5" ht="27" customHeight="1">
      <c r="A15" s="2963"/>
      <c r="B15" s="928" t="s">
        <v>603</v>
      </c>
      <c r="C15" s="830"/>
      <c r="D15" s="830"/>
      <c r="E15" s="1235">
        <v>33</v>
      </c>
    </row>
    <row r="16" spans="1:5" ht="37.5" customHeight="1">
      <c r="A16" s="2963"/>
      <c r="B16" s="826" t="s">
        <v>2561</v>
      </c>
      <c r="C16" s="727"/>
      <c r="D16" s="727"/>
      <c r="E16" s="1235">
        <v>14</v>
      </c>
    </row>
    <row r="17" spans="1:5" ht="30" customHeight="1">
      <c r="A17" s="2963"/>
      <c r="B17" s="827" t="s">
        <v>2562</v>
      </c>
      <c r="C17" s="726"/>
      <c r="D17" s="726"/>
      <c r="E17" s="1235">
        <v>15</v>
      </c>
    </row>
    <row r="18" spans="1:5" ht="15.75" customHeight="1">
      <c r="A18" s="2963"/>
      <c r="B18" s="826" t="s">
        <v>322</v>
      </c>
      <c r="C18" s="728">
        <v>3</v>
      </c>
      <c r="D18" s="728">
        <v>8</v>
      </c>
      <c r="E18" s="1235">
        <v>16</v>
      </c>
    </row>
    <row r="19" spans="1:5" ht="17.25" customHeight="1">
      <c r="A19" s="2963"/>
      <c r="B19" s="829" t="s">
        <v>323</v>
      </c>
      <c r="C19" s="728">
        <v>1</v>
      </c>
      <c r="D19" s="728">
        <v>5</v>
      </c>
      <c r="E19" s="1235">
        <v>17</v>
      </c>
    </row>
    <row r="20" spans="1:5" ht="34.5" customHeight="1">
      <c r="A20" s="2963"/>
      <c r="B20" s="2965" t="s">
        <v>2563</v>
      </c>
      <c r="C20" s="2816"/>
      <c r="D20" s="2817"/>
    </row>
    <row r="21" spans="1:5">
      <c r="A21" s="2963"/>
      <c r="B21" s="828" t="s">
        <v>1915</v>
      </c>
      <c r="C21" s="839"/>
      <c r="D21" s="839"/>
      <c r="E21" s="1235">
        <v>18</v>
      </c>
    </row>
    <row r="22" spans="1:5">
      <c r="A22" s="2963"/>
      <c r="B22" s="828" t="s">
        <v>673</v>
      </c>
      <c r="C22" s="729"/>
      <c r="D22" s="729"/>
      <c r="E22" s="1235">
        <v>19</v>
      </c>
    </row>
    <row r="23" spans="1:5">
      <c r="A23" s="2963"/>
      <c r="B23" s="828" t="s">
        <v>1250</v>
      </c>
      <c r="C23" s="729"/>
      <c r="D23" s="729"/>
      <c r="E23" s="1235">
        <v>20</v>
      </c>
    </row>
    <row r="24" spans="1:5">
      <c r="A24" s="2963"/>
      <c r="B24" s="828" t="s">
        <v>376</v>
      </c>
      <c r="C24" s="729"/>
      <c r="D24" s="729"/>
      <c r="E24" s="1235">
        <v>21</v>
      </c>
    </row>
    <row r="25" spans="1:5">
      <c r="A25" s="2963"/>
      <c r="B25" s="828" t="s">
        <v>1195</v>
      </c>
      <c r="C25" s="729">
        <v>0</v>
      </c>
      <c r="D25" s="729">
        <v>1</v>
      </c>
      <c r="E25" s="1235">
        <v>22</v>
      </c>
    </row>
    <row r="26" spans="1:5">
      <c r="A26" s="2963"/>
      <c r="B26" s="828" t="s">
        <v>1574</v>
      </c>
      <c r="C26" s="729">
        <v>0</v>
      </c>
      <c r="D26" s="729">
        <v>1</v>
      </c>
      <c r="E26" s="1235">
        <v>23</v>
      </c>
    </row>
    <row r="27" spans="1:5">
      <c r="A27" s="2963"/>
      <c r="B27" s="828" t="s">
        <v>2127</v>
      </c>
      <c r="C27" s="729"/>
      <c r="D27" s="729"/>
      <c r="E27" s="1235">
        <v>24</v>
      </c>
    </row>
    <row r="28" spans="1:5">
      <c r="A28" s="2963"/>
      <c r="B28" s="828" t="s">
        <v>1650</v>
      </c>
      <c r="C28" s="729"/>
      <c r="D28" s="729"/>
      <c r="E28" s="1235">
        <v>25</v>
      </c>
    </row>
    <row r="29" spans="1:5">
      <c r="A29" s="2963"/>
      <c r="B29" s="828" t="s">
        <v>2192</v>
      </c>
      <c r="C29" s="729"/>
      <c r="D29" s="729"/>
      <c r="E29" s="1235">
        <v>26</v>
      </c>
    </row>
    <row r="30" spans="1:5">
      <c r="A30" s="2963"/>
      <c r="B30" s="828" t="s">
        <v>1082</v>
      </c>
      <c r="C30" s="729"/>
      <c r="D30" s="729"/>
      <c r="E30" s="1235">
        <v>27</v>
      </c>
    </row>
    <row r="31" spans="1:5" ht="27" customHeight="1">
      <c r="A31" s="2963"/>
      <c r="B31" s="828" t="s">
        <v>2564</v>
      </c>
      <c r="C31" s="730">
        <v>32</v>
      </c>
      <c r="D31" s="730">
        <v>88</v>
      </c>
      <c r="E31" s="1235">
        <v>28</v>
      </c>
    </row>
    <row r="32" spans="1:5" ht="30.75" customHeight="1">
      <c r="A32" s="2963"/>
      <c r="B32" s="827" t="s">
        <v>324</v>
      </c>
      <c r="C32" s="727"/>
      <c r="D32" s="727"/>
      <c r="E32" s="1235">
        <v>29</v>
      </c>
    </row>
    <row r="33" spans="1:5" ht="20.25" customHeight="1">
      <c r="A33" s="2964"/>
      <c r="B33" s="1148" t="s">
        <v>325</v>
      </c>
      <c r="C33" s="1149">
        <v>8</v>
      </c>
      <c r="D33" s="1149">
        <v>24</v>
      </c>
      <c r="E33" s="1235">
        <v>30</v>
      </c>
    </row>
  </sheetData>
  <sheetProtection algorithmName="SHA-512" hashValue="EWwy8k9lZ9CmQe7AMARpFOtiJA1dJIt7UZDMG9wLfFzxYvMGCm9XEeNGbxtox73V3OMd2MmHr2kpnkujb0HIbQ==" saltValue="LM4M96LxqE+4BVrAg9YEmA==" spinCount="100000" sheet="1" objects="1" scenarios="1"/>
  <mergeCells count="5">
    <mergeCell ref="A3:D3"/>
    <mergeCell ref="A10:A12"/>
    <mergeCell ref="A13:A33"/>
    <mergeCell ref="B20:D20"/>
    <mergeCell ref="A5:D5"/>
  </mergeCells>
  <dataValidations xWindow="7988" yWindow="40724" count="1">
    <dataValidation type="whole" allowBlank="1" showInputMessage="1" showErrorMessage="1" errorTitle="Erreur de saisie" error="Vous devez saisir une valeur entière" sqref="C10:D19 C21:D33">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firstPageNumber="0" orientation="portrait" r:id="rId1"/>
  <headerFooter alignWithMargins="0">
    <oddFooter>&amp;LRSU 2020 - Présentation au CTP&amp;R&amp;P/&amp;N
&amp;A</oddFooter>
  </headerFooter>
</worksheet>
</file>

<file path=xl/worksheets/sheet73.xml><?xml version="1.0" encoding="utf-8"?>
<worksheet xmlns="http://schemas.openxmlformats.org/spreadsheetml/2006/main" xmlns:r="http://schemas.openxmlformats.org/officeDocument/2006/relationships">
  <sheetPr codeName="Feuil65">
    <pageSetUpPr fitToPage="1"/>
  </sheetPr>
  <dimension ref="A1:H10"/>
  <sheetViews>
    <sheetView showGridLines="0" workbookViewId="0"/>
  </sheetViews>
  <sheetFormatPr baseColWidth="10" defaultColWidth="10.85546875" defaultRowHeight="12.75" customHeight="1"/>
  <cols>
    <col min="1" max="1" width="42.42578125" customWidth="1"/>
    <col min="2" max="2" width="13.42578125" customWidth="1"/>
  </cols>
  <sheetData>
    <row r="1" spans="1:8" ht="17.100000000000001" customHeight="1">
      <c r="B1" s="2736" t="s">
        <v>958</v>
      </c>
      <c r="C1" s="2737"/>
    </row>
    <row r="2" spans="1:8" ht="13.5" thickBot="1"/>
    <row r="3" spans="1:8" ht="20.25" customHeight="1" thickBot="1">
      <c r="A3" s="2421" t="s">
        <v>2565</v>
      </c>
      <c r="B3" s="2421"/>
      <c r="C3" s="2421"/>
      <c r="D3" s="2969"/>
      <c r="E3" s="2969"/>
      <c r="F3" s="2969"/>
      <c r="G3" s="2969"/>
      <c r="H3" s="414"/>
    </row>
    <row r="4" spans="1:8">
      <c r="B4" s="1219">
        <v>1</v>
      </c>
      <c r="C4" s="1219">
        <v>2</v>
      </c>
      <c r="D4" s="1219">
        <v>1</v>
      </c>
      <c r="E4" s="1211">
        <v>2</v>
      </c>
      <c r="F4" s="1211">
        <v>1</v>
      </c>
      <c r="G4" s="1211">
        <v>2</v>
      </c>
      <c r="H4" s="1211" t="s">
        <v>1307</v>
      </c>
    </row>
    <row r="5" spans="1:8" ht="81.75" customHeight="1">
      <c r="B5" s="2967" t="s">
        <v>34</v>
      </c>
      <c r="C5" s="2968"/>
      <c r="D5" s="2967" t="s">
        <v>973</v>
      </c>
      <c r="E5" s="2968"/>
      <c r="F5" s="2967" t="s">
        <v>1138</v>
      </c>
      <c r="G5" s="2968"/>
    </row>
    <row r="6" spans="1:8" ht="23.25" customHeight="1">
      <c r="B6" s="1063" t="s">
        <v>707</v>
      </c>
      <c r="C6" s="1063" t="s">
        <v>708</v>
      </c>
      <c r="D6" s="1063" t="s">
        <v>707</v>
      </c>
      <c r="E6" s="1063" t="s">
        <v>708</v>
      </c>
      <c r="F6" s="1063" t="s">
        <v>707</v>
      </c>
      <c r="G6" s="1063" t="s">
        <v>708</v>
      </c>
      <c r="H6" s="1211" t="s">
        <v>1512</v>
      </c>
    </row>
    <row r="7" spans="1:8" ht="15" customHeight="1">
      <c r="A7" s="421" t="s">
        <v>445</v>
      </c>
      <c r="B7" s="689">
        <v>6</v>
      </c>
      <c r="C7" s="689">
        <v>3</v>
      </c>
      <c r="D7" s="689">
        <v>1</v>
      </c>
      <c r="E7" s="689">
        <v>2</v>
      </c>
      <c r="F7" s="689">
        <v>0</v>
      </c>
      <c r="G7" s="689">
        <v>0</v>
      </c>
      <c r="H7" s="1211">
        <v>1</v>
      </c>
    </row>
    <row r="8" spans="1:8" ht="15" customHeight="1">
      <c r="A8" s="421" t="s">
        <v>2060</v>
      </c>
      <c r="B8" s="689">
        <v>0</v>
      </c>
      <c r="C8" s="689">
        <v>0</v>
      </c>
      <c r="D8" s="689">
        <v>0</v>
      </c>
      <c r="E8" s="689">
        <v>0</v>
      </c>
      <c r="F8" s="689">
        <v>0</v>
      </c>
      <c r="G8" s="689">
        <v>0</v>
      </c>
      <c r="H8" s="1211">
        <v>2</v>
      </c>
    </row>
    <row r="9" spans="1:8">
      <c r="B9" s="1211">
        <v>1</v>
      </c>
      <c r="C9" s="1211">
        <v>1</v>
      </c>
      <c r="D9" s="1211">
        <v>2</v>
      </c>
      <c r="E9" s="1211">
        <v>2</v>
      </c>
      <c r="F9" s="1211">
        <v>3</v>
      </c>
      <c r="G9" s="1211">
        <v>3</v>
      </c>
      <c r="H9" s="1211" t="s">
        <v>1364</v>
      </c>
    </row>
    <row r="10" spans="1:8">
      <c r="A10" s="419" t="s">
        <v>1880</v>
      </c>
    </row>
  </sheetData>
  <sheetProtection algorithmName="SHA-512" hashValue="W66DyksHtaDoCn1cRN4Rd6bKVWIK0gp5jDy+t33FOdI2IQAdkRSr3zxZK9Gc9zDyX0sHT/NmK4uRCgRU/vtYQw==" saltValue="I4WMJHHdXG/OO1WpRJKLxA==" spinCount="100000" sheet="1" objects="1" scenarios="1"/>
  <mergeCells count="5">
    <mergeCell ref="B1:C1"/>
    <mergeCell ref="B5:C5"/>
    <mergeCell ref="D5:E5"/>
    <mergeCell ref="F5:G5"/>
    <mergeCell ref="A3:G3"/>
  </mergeCells>
  <dataValidations xWindow="55357" yWindow="34926" count="1">
    <dataValidation type="whole" allowBlank="1" showInputMessage="1" showErrorMessage="1" errorTitle="Erreur de saisie" error="Vous devez saisir une valeur entière" sqref="B7:G8">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83" firstPageNumber="0" orientation="portrait" r:id="rId1"/>
  <headerFooter alignWithMargins="0">
    <oddFooter>&amp;LRSU 2020 - Présentation au CTP&amp;R&amp;P/&amp;N
&amp;A</oddFooter>
  </headerFooter>
</worksheet>
</file>

<file path=xl/worksheets/sheet74.xml><?xml version="1.0" encoding="utf-8"?>
<worksheet xmlns="http://schemas.openxmlformats.org/spreadsheetml/2006/main" xmlns:r="http://schemas.openxmlformats.org/officeDocument/2006/relationships">
  <sheetPr codeName="Feuil66">
    <pageSetUpPr fitToPage="1"/>
  </sheetPr>
  <dimension ref="A1:I7"/>
  <sheetViews>
    <sheetView showGridLines="0" workbookViewId="0"/>
  </sheetViews>
  <sheetFormatPr baseColWidth="10" defaultRowHeight="12.75" customHeight="1"/>
  <sheetData>
    <row r="1" spans="1:9" ht="17.100000000000001" customHeight="1">
      <c r="D1" s="2245" t="s">
        <v>958</v>
      </c>
      <c r="E1" s="2245"/>
      <c r="F1" s="2245"/>
    </row>
    <row r="2" spans="1:9" ht="13.5" thickBot="1"/>
    <row r="3" spans="1:9" ht="19.5" customHeight="1" thickBot="1">
      <c r="A3" s="2973" t="s">
        <v>267</v>
      </c>
      <c r="B3" s="2973"/>
      <c r="C3" s="2973"/>
      <c r="D3" s="2974"/>
      <c r="E3" s="2974"/>
      <c r="F3" s="2974"/>
      <c r="G3" s="2974"/>
      <c r="H3" s="2975"/>
      <c r="I3" s="2975"/>
    </row>
    <row r="5" spans="1:9" ht="18" customHeight="1">
      <c r="A5" s="2970" t="s">
        <v>2566</v>
      </c>
      <c r="B5" s="2971"/>
      <c r="C5" s="2971"/>
      <c r="D5" s="2971"/>
      <c r="E5" s="2971"/>
      <c r="F5" s="2971"/>
      <c r="G5" s="2971"/>
      <c r="H5" s="2972"/>
      <c r="I5" s="637" t="s">
        <v>1123</v>
      </c>
    </row>
    <row r="7" spans="1:9" ht="27.75" customHeight="1">
      <c r="A7" s="2976" t="s">
        <v>887</v>
      </c>
      <c r="B7" s="2976"/>
      <c r="C7" s="2976"/>
      <c r="D7" s="2976"/>
      <c r="E7" s="2976"/>
      <c r="F7" s="2976"/>
      <c r="G7" s="2976"/>
      <c r="H7" s="2976"/>
      <c r="I7" s="2976"/>
    </row>
  </sheetData>
  <sheetProtection algorithmName="SHA-512" hashValue="/ZlRTlD/8LbHvSkNbZex7IkBpNvfpbhAZjzNS1XOeIYmNyoXS4KbmTgerhxB1O0vkweSPKwJq0Y/J6BXr+kyrQ==" saltValue="I4/rEf3/g/g2F+0saLbNqQ==" spinCount="100000" sheet="1" objects="1" scenarios="1"/>
  <mergeCells count="4">
    <mergeCell ref="A5:H5"/>
    <mergeCell ref="A3:I3"/>
    <mergeCell ref="D1:F1"/>
    <mergeCell ref="A7:I7"/>
  </mergeCells>
  <dataValidations count="1">
    <dataValidation type="list" allowBlank="1" showInputMessage="1" showErrorMessage="1" errorTitle="Erreur de saisie" error="Vous devez saisir une valeur dans la liste" sqref="I5">
      <formula1>lstReponse</formula1>
    </dataValidation>
  </dataValidation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88" orientation="portrait" r:id="rId1"/>
  <headerFooter alignWithMargins="0">
    <oddFooter>&amp;LRSU 2020 - Présentation au CTP&amp;R&amp;P/&amp;N
&amp;A</oddFooter>
  </headerFooter>
</worksheet>
</file>

<file path=xl/worksheets/sheet75.xml><?xml version="1.0" encoding="utf-8"?>
<worksheet xmlns="http://schemas.openxmlformats.org/spreadsheetml/2006/main" xmlns:r="http://schemas.openxmlformats.org/officeDocument/2006/relationships">
  <sheetPr codeName="Feuil67">
    <pageSetUpPr fitToPage="1"/>
  </sheetPr>
  <dimension ref="A1:D53"/>
  <sheetViews>
    <sheetView showGridLines="0" zoomScaleNormal="100" workbookViewId="0"/>
  </sheetViews>
  <sheetFormatPr baseColWidth="10" defaultColWidth="10.85546875" defaultRowHeight="12.75" customHeight="1"/>
  <cols>
    <col min="1" max="1" width="27.7109375" customWidth="1"/>
    <col min="2" max="3" width="20.85546875" customWidth="1"/>
    <col min="5" max="5" width="10.85546875" customWidth="1"/>
  </cols>
  <sheetData>
    <row r="1" spans="1:4" ht="17.100000000000001" customHeight="1">
      <c r="B1" s="1073" t="s">
        <v>958</v>
      </c>
    </row>
    <row r="2" spans="1:4" ht="13.5" thickBot="1"/>
    <row r="3" spans="1:4" ht="48.75" customHeight="1" thickBot="1">
      <c r="A3" s="2983" t="s">
        <v>2567</v>
      </c>
      <c r="B3" s="2984"/>
      <c r="C3" s="2984"/>
    </row>
    <row r="4" spans="1:4" ht="32.25" customHeight="1">
      <c r="A4" s="2985" t="s">
        <v>2568</v>
      </c>
      <c r="B4" s="2986"/>
      <c r="C4" s="2986"/>
    </row>
    <row r="5" spans="1:4" ht="28.5" customHeight="1">
      <c r="A5" s="2928" t="s">
        <v>251</v>
      </c>
      <c r="B5" s="2987"/>
      <c r="C5" s="2987"/>
      <c r="D5" s="917"/>
    </row>
    <row r="7" spans="1:4" ht="44.25" customHeight="1">
      <c r="A7" s="2988" t="s">
        <v>2430</v>
      </c>
      <c r="B7" s="2988"/>
      <c r="C7" s="822" t="s">
        <v>1124</v>
      </c>
    </row>
    <row r="9" spans="1:4">
      <c r="A9" s="2302" t="s">
        <v>1456</v>
      </c>
      <c r="B9" s="2302"/>
      <c r="C9" s="2302"/>
      <c r="D9" s="1001" t="s">
        <v>326</v>
      </c>
    </row>
    <row r="10" spans="1:4" ht="39" customHeight="1">
      <c r="B10" s="2989" t="s">
        <v>2569</v>
      </c>
      <c r="C10" s="2990"/>
    </row>
    <row r="11" spans="1:4" ht="20.25" customHeight="1">
      <c r="B11" s="1064" t="s">
        <v>707</v>
      </c>
      <c r="C11" s="1064" t="s">
        <v>708</v>
      </c>
      <c r="D11" s="1224" t="s">
        <v>1218</v>
      </c>
    </row>
    <row r="12" spans="1:4" ht="25.5">
      <c r="A12" s="557" t="s">
        <v>327</v>
      </c>
      <c r="B12" s="731">
        <v>0</v>
      </c>
      <c r="C12" s="731">
        <v>0</v>
      </c>
      <c r="D12" s="1211">
        <v>1</v>
      </c>
    </row>
    <row r="13" spans="1:4" ht="25.5">
      <c r="A13" s="557" t="s">
        <v>328</v>
      </c>
      <c r="B13" s="731">
        <v>0</v>
      </c>
      <c r="C13" s="731">
        <v>1</v>
      </c>
      <c r="D13" s="1211">
        <v>2</v>
      </c>
    </row>
    <row r="14" spans="1:4" ht="25.5">
      <c r="A14" s="557" t="s">
        <v>329</v>
      </c>
      <c r="B14" s="731"/>
      <c r="C14" s="731"/>
      <c r="D14" s="1211">
        <v>3</v>
      </c>
    </row>
    <row r="15" spans="1:4" ht="25.5">
      <c r="A15" s="558" t="s">
        <v>330</v>
      </c>
      <c r="B15" s="731"/>
      <c r="C15" s="731"/>
      <c r="D15" s="1211">
        <v>4</v>
      </c>
    </row>
    <row r="16" spans="1:4">
      <c r="A16" s="559" t="s">
        <v>768</v>
      </c>
      <c r="B16" s="455">
        <f>SUM(B12:B15)</f>
        <v>0</v>
      </c>
      <c r="C16" s="455">
        <f>SUM(C12:C15)</f>
        <v>1</v>
      </c>
      <c r="D16" s="1211">
        <v>5</v>
      </c>
    </row>
    <row r="19" spans="1:4" ht="42" customHeight="1">
      <c r="A19" s="2979" t="s">
        <v>2431</v>
      </c>
      <c r="B19" s="2980"/>
      <c r="C19" s="822" t="s">
        <v>1123</v>
      </c>
    </row>
    <row r="21" spans="1:4">
      <c r="A21" s="2302" t="s">
        <v>1456</v>
      </c>
      <c r="B21" s="2302"/>
      <c r="C21" s="2302"/>
      <c r="D21" s="414"/>
    </row>
    <row r="22" spans="1:4" ht="26.25" customHeight="1">
      <c r="B22" s="2977" t="s">
        <v>663</v>
      </c>
      <c r="C22" s="2978"/>
    </row>
    <row r="23" spans="1:4" ht="19.5" customHeight="1">
      <c r="B23" s="1062" t="s">
        <v>707</v>
      </c>
      <c r="C23" s="1062" t="s">
        <v>708</v>
      </c>
      <c r="D23" s="1224" t="s">
        <v>1218</v>
      </c>
    </row>
    <row r="24" spans="1:4" ht="25.5">
      <c r="A24" s="557" t="s">
        <v>327</v>
      </c>
      <c r="B24" s="731">
        <v>0</v>
      </c>
      <c r="C24" s="731">
        <v>0</v>
      </c>
      <c r="D24" s="1211">
        <v>1</v>
      </c>
    </row>
    <row r="25" spans="1:4" ht="25.5">
      <c r="A25" s="557" t="s">
        <v>328</v>
      </c>
      <c r="B25" s="731"/>
      <c r="C25" s="731"/>
      <c r="D25" s="1211">
        <v>2</v>
      </c>
    </row>
    <row r="26" spans="1:4" ht="25.5">
      <c r="A26" s="557" t="s">
        <v>329</v>
      </c>
      <c r="B26" s="731"/>
      <c r="C26" s="731"/>
      <c r="D26" s="1211">
        <v>3</v>
      </c>
    </row>
    <row r="27" spans="1:4" ht="25.5">
      <c r="A27" s="558" t="s">
        <v>330</v>
      </c>
      <c r="B27" s="731"/>
      <c r="C27" s="731"/>
      <c r="D27" s="1211">
        <v>4</v>
      </c>
    </row>
    <row r="28" spans="1:4">
      <c r="A28" s="559" t="s">
        <v>768</v>
      </c>
      <c r="B28" s="455">
        <f>SUM(B24:B27)</f>
        <v>0</v>
      </c>
      <c r="C28" s="455">
        <f>SUM(C24:C27)</f>
        <v>0</v>
      </c>
      <c r="D28" s="1211">
        <v>5</v>
      </c>
    </row>
    <row r="31" spans="1:4" ht="38.25" customHeight="1">
      <c r="A31" s="2979" t="s">
        <v>2432</v>
      </c>
      <c r="B31" s="2980"/>
      <c r="C31" s="822" t="s">
        <v>1124</v>
      </c>
    </row>
    <row r="33" spans="1:4">
      <c r="A33" s="2302" t="s">
        <v>1456</v>
      </c>
      <c r="B33" s="2302"/>
      <c r="C33" s="2302"/>
      <c r="D33" s="414"/>
    </row>
    <row r="34" spans="1:4" ht="26.25" customHeight="1">
      <c r="B34" s="2977" t="s">
        <v>505</v>
      </c>
      <c r="C34" s="2978"/>
    </row>
    <row r="35" spans="1:4" ht="16.5" customHeight="1">
      <c r="B35" s="1062" t="s">
        <v>707</v>
      </c>
      <c r="C35" s="1062" t="s">
        <v>708</v>
      </c>
      <c r="D35" s="1224" t="s">
        <v>1218</v>
      </c>
    </row>
    <row r="36" spans="1:4" ht="25.5">
      <c r="A36" s="557" t="s">
        <v>327</v>
      </c>
      <c r="B36" s="731">
        <v>0</v>
      </c>
      <c r="C36" s="731">
        <v>1</v>
      </c>
      <c r="D36" s="1211">
        <v>1</v>
      </c>
    </row>
    <row r="37" spans="1:4" ht="25.5">
      <c r="A37" s="557" t="s">
        <v>328</v>
      </c>
      <c r="B37" s="731">
        <v>0</v>
      </c>
      <c r="C37" s="731">
        <v>0</v>
      </c>
      <c r="D37" s="1211">
        <v>2</v>
      </c>
    </row>
    <row r="38" spans="1:4" ht="25.5">
      <c r="A38" s="557" t="s">
        <v>329</v>
      </c>
      <c r="B38" s="731"/>
      <c r="C38" s="731"/>
      <c r="D38" s="1211">
        <v>3</v>
      </c>
    </row>
    <row r="39" spans="1:4" ht="25.5">
      <c r="A39" s="558" t="s">
        <v>330</v>
      </c>
      <c r="B39" s="731"/>
      <c r="C39" s="731"/>
      <c r="D39" s="1211">
        <v>4</v>
      </c>
    </row>
    <row r="40" spans="1:4">
      <c r="A40" s="559" t="s">
        <v>768</v>
      </c>
      <c r="B40" s="455">
        <f>SUM(B36:B39)</f>
        <v>0</v>
      </c>
      <c r="C40" s="455">
        <f>SUM(C36:C39)</f>
        <v>1</v>
      </c>
      <c r="D40" s="1211">
        <v>5</v>
      </c>
    </row>
    <row r="43" spans="1:4" ht="37.5" customHeight="1">
      <c r="A43" s="2979" t="s">
        <v>2433</v>
      </c>
      <c r="B43" s="2980"/>
      <c r="C43" s="822" t="s">
        <v>1123</v>
      </c>
    </row>
    <row r="45" spans="1:4" ht="12.75" customHeight="1">
      <c r="A45" s="2302" t="s">
        <v>1456</v>
      </c>
      <c r="B45" s="2302"/>
      <c r="C45" s="2302"/>
    </row>
    <row r="46" spans="1:4" ht="45.75" customHeight="1">
      <c r="B46" s="2981" t="s">
        <v>1881</v>
      </c>
      <c r="C46" s="2982"/>
    </row>
    <row r="47" spans="1:4" ht="12.75" customHeight="1">
      <c r="B47" s="1062" t="s">
        <v>707</v>
      </c>
      <c r="C47" s="1062" t="s">
        <v>708</v>
      </c>
      <c r="D47" s="1224" t="s">
        <v>1218</v>
      </c>
    </row>
    <row r="48" spans="1:4" ht="26.25" customHeight="1">
      <c r="A48" s="557" t="s">
        <v>327</v>
      </c>
      <c r="B48" s="731">
        <v>0</v>
      </c>
      <c r="C48" s="731">
        <v>0</v>
      </c>
      <c r="D48" s="1211">
        <v>1</v>
      </c>
    </row>
    <row r="49" spans="1:4" ht="24.75" customHeight="1">
      <c r="A49" s="557" t="s">
        <v>328</v>
      </c>
      <c r="B49" s="731"/>
      <c r="C49" s="731"/>
      <c r="D49" s="1211">
        <v>2</v>
      </c>
    </row>
    <row r="50" spans="1:4" ht="25.5" customHeight="1">
      <c r="A50" s="557" t="s">
        <v>329</v>
      </c>
      <c r="B50" s="731"/>
      <c r="C50" s="731"/>
      <c r="D50" s="1211">
        <v>3</v>
      </c>
    </row>
    <row r="51" spans="1:4" ht="24.75" customHeight="1">
      <c r="A51" s="558" t="s">
        <v>330</v>
      </c>
      <c r="B51" s="731"/>
      <c r="C51" s="731"/>
      <c r="D51" s="1211">
        <v>4</v>
      </c>
    </row>
    <row r="52" spans="1:4" ht="12.75" customHeight="1">
      <c r="A52" s="559" t="s">
        <v>768</v>
      </c>
      <c r="B52" s="455">
        <f>SUM(B48:B51)</f>
        <v>0</v>
      </c>
      <c r="C52" s="455">
        <f>SUM(C48:C51)</f>
        <v>0</v>
      </c>
      <c r="D52" s="1211">
        <v>5</v>
      </c>
    </row>
    <row r="53" spans="1:4" ht="12.75" customHeight="1">
      <c r="B53" s="1235">
        <v>1</v>
      </c>
      <c r="C53" s="1235">
        <v>2</v>
      </c>
      <c r="D53" s="1235" t="s">
        <v>1307</v>
      </c>
    </row>
  </sheetData>
  <sheetProtection algorithmName="SHA-512" hashValue="4XAIa9Yr0/RJuuNaVRTlCNIs+dtKJSg0dR+V2tXTR4oSln5S9v7KWdJw5lciOnuj5yxNVnKVOeXeXu12DMt16g==" saltValue="/LZ2wdqDUlsjRIaicQ/8fA==" spinCount="100000" sheet="1" objects="1" scenarios="1"/>
  <mergeCells count="15">
    <mergeCell ref="A21:C21"/>
    <mergeCell ref="A3:C3"/>
    <mergeCell ref="A4:C4"/>
    <mergeCell ref="A5:C5"/>
    <mergeCell ref="A19:B19"/>
    <mergeCell ref="A7:B7"/>
    <mergeCell ref="B10:C10"/>
    <mergeCell ref="A9:C9"/>
    <mergeCell ref="B22:C22"/>
    <mergeCell ref="A43:B43"/>
    <mergeCell ref="A45:C45"/>
    <mergeCell ref="B46:C46"/>
    <mergeCell ref="A31:B31"/>
    <mergeCell ref="B34:C34"/>
    <mergeCell ref="A33:C33"/>
  </mergeCells>
  <dataValidations xWindow="64185" yWindow="64056" count="2">
    <dataValidation type="whole" allowBlank="1" showInputMessage="1" showErrorMessage="1" errorTitle="Erreur de saisie" error="Vous devez saisir une valeur entière" sqref="B12:C15 B24:C27 B36:C39 B48:C51">
      <formula1>0</formula1>
      <formula2>999999999999</formula2>
    </dataValidation>
    <dataValidation type="list" allowBlank="1" showInputMessage="1" showErrorMessage="1" errorTitle="Erreur de saisie" error="Vous devez saisir une valeur dans la liste" sqref="C19 C7 C31 C43">
      <formula1>lstReponse</formula1>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66" firstPageNumber="0" orientation="portrait" r:id="rId1"/>
  <headerFooter alignWithMargins="0">
    <oddFooter>&amp;LRSU 2020 - Présentation au CTP&amp;R&amp;P/&amp;N
&amp;A</oddFooter>
  </headerFooter>
  <rowBreaks count="1" manualBreakCount="1">
    <brk id="30" max="16383" man="1"/>
  </rowBreaks>
</worksheet>
</file>

<file path=xl/worksheets/sheet76.xml><?xml version="1.0" encoding="utf-8"?>
<worksheet xmlns="http://schemas.openxmlformats.org/spreadsheetml/2006/main" xmlns:r="http://schemas.openxmlformats.org/officeDocument/2006/relationships">
  <sheetPr codeName="Feuil68">
    <pageSetUpPr fitToPage="1"/>
  </sheetPr>
  <dimension ref="A1:IV90"/>
  <sheetViews>
    <sheetView showGridLines="0" zoomScaleNormal="85" workbookViewId="0"/>
  </sheetViews>
  <sheetFormatPr baseColWidth="10" defaultColWidth="10.85546875" defaultRowHeight="12.75" customHeight="1"/>
  <cols>
    <col min="1" max="7" width="10.85546875" customWidth="1"/>
    <col min="8" max="8" width="20.42578125" customWidth="1"/>
    <col min="9" max="21" width="11.42578125" customWidth="1"/>
  </cols>
  <sheetData>
    <row r="1" spans="1:21" s="1093" customFormat="1">
      <c r="D1" s="2245" t="s">
        <v>958</v>
      </c>
      <c r="E1" s="2245"/>
      <c r="I1"/>
      <c r="J1"/>
      <c r="K1"/>
      <c r="L1"/>
      <c r="M1"/>
      <c r="N1"/>
      <c r="O1"/>
      <c r="P1"/>
      <c r="Q1"/>
      <c r="R1"/>
      <c r="S1"/>
      <c r="T1"/>
      <c r="U1"/>
    </row>
    <row r="2" spans="1:21" s="1093" customFormat="1">
      <c r="A2"/>
      <c r="B2"/>
      <c r="C2"/>
      <c r="D2"/>
      <c r="E2"/>
      <c r="F2"/>
      <c r="G2"/>
      <c r="H2"/>
      <c r="I2"/>
      <c r="J2"/>
      <c r="K2"/>
      <c r="L2"/>
      <c r="M2"/>
      <c r="N2"/>
      <c r="O2"/>
      <c r="P2"/>
      <c r="Q2"/>
      <c r="R2"/>
      <c r="S2"/>
      <c r="T2"/>
      <c r="U2"/>
    </row>
    <row r="3" spans="1:21" s="1093" customFormat="1" ht="13.5" thickBot="1">
      <c r="A3"/>
      <c r="B3"/>
      <c r="C3"/>
      <c r="D3"/>
      <c r="E3"/>
      <c r="F3"/>
      <c r="G3"/>
      <c r="H3"/>
      <c r="I3"/>
      <c r="J3"/>
      <c r="K3"/>
      <c r="L3"/>
      <c r="M3"/>
      <c r="N3"/>
      <c r="O3"/>
      <c r="P3"/>
      <c r="Q3"/>
      <c r="R3"/>
      <c r="S3"/>
      <c r="T3"/>
      <c r="U3"/>
    </row>
    <row r="4" spans="1:21" s="1093" customFormat="1" ht="13.5" thickBot="1">
      <c r="A4" s="2386" t="s">
        <v>2242</v>
      </c>
      <c r="B4" s="2386"/>
      <c r="C4" s="2386"/>
      <c r="D4" s="2386"/>
      <c r="E4" s="2386"/>
      <c r="F4" s="2386"/>
      <c r="G4" s="2386"/>
      <c r="H4" s="2386"/>
      <c r="I4"/>
      <c r="J4"/>
      <c r="K4"/>
      <c r="L4"/>
      <c r="M4"/>
      <c r="N4"/>
      <c r="O4"/>
      <c r="P4"/>
      <c r="Q4"/>
      <c r="R4"/>
      <c r="S4"/>
      <c r="T4"/>
      <c r="U4"/>
    </row>
    <row r="5" spans="1:21" s="1093" customFormat="1">
      <c r="A5"/>
      <c r="B5"/>
      <c r="C5"/>
      <c r="D5"/>
      <c r="E5"/>
      <c r="F5"/>
      <c r="G5"/>
      <c r="H5"/>
      <c r="I5"/>
      <c r="J5"/>
      <c r="K5"/>
      <c r="L5"/>
      <c r="M5"/>
      <c r="N5"/>
      <c r="O5"/>
      <c r="P5"/>
      <c r="Q5"/>
      <c r="R5"/>
      <c r="S5"/>
      <c r="T5"/>
      <c r="U5"/>
    </row>
    <row r="6" spans="1:21" s="1093" customFormat="1" ht="4.5" customHeight="1">
      <c r="A6"/>
      <c r="B6"/>
      <c r="C6"/>
      <c r="D6"/>
      <c r="E6"/>
      <c r="F6"/>
      <c r="G6"/>
      <c r="H6"/>
      <c r="I6"/>
      <c r="J6"/>
      <c r="K6"/>
      <c r="L6"/>
      <c r="M6"/>
      <c r="N6"/>
      <c r="O6"/>
      <c r="P6"/>
      <c r="Q6"/>
      <c r="R6"/>
      <c r="S6"/>
      <c r="T6"/>
      <c r="U6"/>
    </row>
    <row r="7" spans="1:21" s="1093" customFormat="1" ht="13.35" customHeight="1">
      <c r="A7" s="2244" t="s">
        <v>2243</v>
      </c>
      <c r="B7" s="2244"/>
      <c r="C7" s="2244"/>
      <c r="D7" s="2244"/>
      <c r="E7" s="2244"/>
      <c r="F7" s="2244"/>
      <c r="G7" s="2244"/>
      <c r="H7" s="2244"/>
      <c r="I7"/>
      <c r="J7"/>
      <c r="K7"/>
      <c r="L7"/>
      <c r="M7"/>
      <c r="N7"/>
      <c r="O7"/>
      <c r="P7"/>
      <c r="Q7"/>
      <c r="R7"/>
      <c r="S7"/>
      <c r="T7"/>
      <c r="U7"/>
    </row>
    <row r="8" spans="1:21" s="1093" customFormat="1" ht="33" customHeight="1">
      <c r="A8" s="2242" t="s">
        <v>1476</v>
      </c>
      <c r="B8" s="2242"/>
      <c r="C8" s="2242"/>
      <c r="D8" s="2242"/>
      <c r="E8" s="2242"/>
      <c r="F8" s="2242"/>
      <c r="G8" s="2242"/>
      <c r="H8" s="2242"/>
      <c r="I8"/>
      <c r="J8"/>
      <c r="K8"/>
      <c r="L8"/>
      <c r="M8"/>
      <c r="N8"/>
      <c r="O8"/>
      <c r="P8"/>
      <c r="Q8"/>
      <c r="R8"/>
      <c r="S8"/>
      <c r="T8"/>
      <c r="U8"/>
    </row>
    <row r="9" spans="1:21" s="1093" customFormat="1">
      <c r="A9"/>
      <c r="B9"/>
      <c r="C9"/>
      <c r="D9"/>
      <c r="E9"/>
      <c r="F9"/>
      <c r="G9"/>
      <c r="H9"/>
      <c r="I9"/>
      <c r="J9"/>
      <c r="K9"/>
      <c r="L9"/>
      <c r="M9"/>
      <c r="N9"/>
      <c r="O9"/>
      <c r="P9"/>
      <c r="Q9"/>
      <c r="R9"/>
      <c r="S9"/>
      <c r="T9"/>
      <c r="U9"/>
    </row>
    <row r="10" spans="1:21" s="1093" customFormat="1" ht="13.35" customHeight="1">
      <c r="A10" s="2244" t="s">
        <v>331</v>
      </c>
      <c r="B10" s="2244"/>
      <c r="C10" s="2244"/>
      <c r="D10" s="2244"/>
      <c r="E10" s="2244"/>
      <c r="F10" s="2244"/>
      <c r="G10" s="2244"/>
      <c r="H10" s="2244"/>
      <c r="I10"/>
      <c r="J10"/>
      <c r="K10"/>
      <c r="L10"/>
      <c r="M10"/>
      <c r="N10"/>
      <c r="O10"/>
      <c r="P10"/>
      <c r="Q10"/>
      <c r="R10"/>
      <c r="S10"/>
      <c r="T10"/>
      <c r="U10"/>
    </row>
    <row r="11" spans="1:21" s="1093" customFormat="1" ht="13.35" customHeight="1">
      <c r="A11" s="2239" t="s">
        <v>1477</v>
      </c>
      <c r="B11" s="2239"/>
      <c r="C11" s="2239"/>
      <c r="D11" s="2239"/>
      <c r="E11" s="2239"/>
      <c r="F11" s="2239"/>
      <c r="G11" s="2239"/>
      <c r="H11" s="2239"/>
      <c r="I11"/>
      <c r="J11"/>
      <c r="K11"/>
      <c r="L11"/>
      <c r="M11"/>
      <c r="N11"/>
      <c r="O11"/>
      <c r="P11"/>
      <c r="Q11"/>
      <c r="R11"/>
      <c r="S11"/>
      <c r="T11"/>
      <c r="U11"/>
    </row>
    <row r="12" spans="1:21" s="1093" customFormat="1">
      <c r="A12"/>
      <c r="B12"/>
      <c r="C12"/>
      <c r="D12"/>
      <c r="E12"/>
      <c r="F12"/>
      <c r="G12"/>
      <c r="H12"/>
      <c r="I12"/>
      <c r="J12"/>
      <c r="K12"/>
      <c r="L12"/>
      <c r="M12"/>
      <c r="N12"/>
      <c r="O12"/>
      <c r="P12"/>
      <c r="Q12"/>
      <c r="R12"/>
      <c r="S12"/>
      <c r="T12"/>
      <c r="U12"/>
    </row>
    <row r="13" spans="1:21" s="1093" customFormat="1" ht="13.35" customHeight="1">
      <c r="A13" s="2244" t="s">
        <v>332</v>
      </c>
      <c r="B13" s="2244"/>
      <c r="C13" s="2244"/>
      <c r="D13" s="2244"/>
      <c r="E13" s="2244"/>
      <c r="F13" s="2244"/>
      <c r="G13" s="2244"/>
      <c r="H13" s="2244"/>
      <c r="I13"/>
      <c r="J13"/>
      <c r="K13"/>
      <c r="L13"/>
      <c r="M13"/>
      <c r="N13"/>
      <c r="O13"/>
      <c r="P13"/>
      <c r="Q13"/>
      <c r="R13"/>
      <c r="S13"/>
      <c r="T13"/>
      <c r="U13"/>
    </row>
    <row r="14" spans="1:21" s="1093" customFormat="1" ht="38.25" customHeight="1">
      <c r="A14" s="2239" t="s">
        <v>1478</v>
      </c>
      <c r="B14" s="2239"/>
      <c r="C14" s="2239"/>
      <c r="D14" s="2239"/>
      <c r="E14" s="2239"/>
      <c r="F14" s="2239"/>
      <c r="G14" s="2239"/>
      <c r="H14" s="2239"/>
      <c r="I14"/>
      <c r="J14"/>
      <c r="K14"/>
      <c r="L14"/>
      <c r="M14"/>
      <c r="N14"/>
      <c r="O14"/>
      <c r="P14"/>
      <c r="Q14"/>
      <c r="R14"/>
      <c r="S14"/>
      <c r="T14"/>
      <c r="U14"/>
    </row>
    <row r="15" spans="1:21" s="1093" customFormat="1">
      <c r="A15"/>
      <c r="B15"/>
      <c r="C15"/>
      <c r="D15"/>
      <c r="E15"/>
      <c r="F15"/>
      <c r="G15"/>
      <c r="H15"/>
      <c r="I15"/>
      <c r="J15"/>
      <c r="K15"/>
      <c r="L15"/>
      <c r="M15"/>
      <c r="N15"/>
      <c r="O15"/>
      <c r="P15"/>
      <c r="Q15"/>
      <c r="R15"/>
      <c r="S15"/>
      <c r="T15"/>
      <c r="U15"/>
    </row>
    <row r="16" spans="1:21" s="1093" customFormat="1" ht="13.35" customHeight="1">
      <c r="A16" s="2244" t="s">
        <v>846</v>
      </c>
      <c r="B16" s="2244"/>
      <c r="C16" s="2244"/>
      <c r="D16" s="2244"/>
      <c r="E16" s="2244"/>
      <c r="F16" s="2244"/>
      <c r="G16" s="2244"/>
      <c r="H16" s="2244"/>
      <c r="I16"/>
      <c r="J16"/>
      <c r="K16"/>
      <c r="L16"/>
      <c r="M16"/>
      <c r="N16"/>
      <c r="O16"/>
      <c r="P16"/>
      <c r="Q16"/>
      <c r="R16"/>
      <c r="S16"/>
      <c r="T16"/>
      <c r="U16"/>
    </row>
    <row r="17" spans="1:21" s="1093" customFormat="1" ht="12.75" customHeight="1">
      <c r="A17" s="2239" t="s">
        <v>1479</v>
      </c>
      <c r="B17" s="2239"/>
      <c r="C17" s="2239"/>
      <c r="D17" s="2239"/>
      <c r="E17" s="2239"/>
      <c r="F17" s="2239"/>
      <c r="G17" s="2239"/>
      <c r="H17" s="2239"/>
      <c r="I17"/>
      <c r="J17"/>
      <c r="K17"/>
      <c r="L17"/>
      <c r="M17"/>
      <c r="N17"/>
      <c r="O17"/>
      <c r="P17"/>
      <c r="Q17"/>
      <c r="R17"/>
      <c r="S17"/>
      <c r="T17"/>
      <c r="U17"/>
    </row>
    <row r="18" spans="1:21" s="1093" customFormat="1" ht="27.75" customHeight="1">
      <c r="A18" s="2998" t="s">
        <v>1480</v>
      </c>
      <c r="B18" s="2998"/>
      <c r="C18" s="2998"/>
      <c r="D18" s="2998"/>
      <c r="E18" s="2998"/>
      <c r="F18" s="2998"/>
      <c r="G18" s="2998"/>
      <c r="H18" s="2998"/>
      <c r="I18"/>
      <c r="J18"/>
      <c r="K18"/>
      <c r="L18"/>
      <c r="M18"/>
      <c r="N18"/>
      <c r="O18"/>
      <c r="P18"/>
      <c r="Q18"/>
      <c r="R18"/>
      <c r="S18"/>
      <c r="T18"/>
      <c r="U18"/>
    </row>
    <row r="20" spans="1:21" s="1093" customFormat="1" ht="12.75" customHeight="1">
      <c r="A20" s="2999" t="s">
        <v>1294</v>
      </c>
      <c r="B20" s="2999"/>
      <c r="C20" s="2999"/>
      <c r="D20" s="2999"/>
      <c r="E20" s="2999"/>
      <c r="F20" s="2999"/>
      <c r="G20" s="2999"/>
      <c r="H20" s="2999"/>
      <c r="I20"/>
      <c r="J20"/>
      <c r="K20"/>
      <c r="L20"/>
      <c r="M20"/>
      <c r="N20"/>
      <c r="O20"/>
      <c r="P20"/>
      <c r="Q20"/>
      <c r="R20"/>
      <c r="S20"/>
      <c r="T20"/>
      <c r="U20"/>
    </row>
    <row r="21" spans="1:21" s="1093" customFormat="1" ht="13.35" customHeight="1">
      <c r="A21" s="2239" t="s">
        <v>1481</v>
      </c>
      <c r="B21" s="2239"/>
      <c r="C21" s="2239"/>
      <c r="D21" s="2239"/>
      <c r="E21" s="2239"/>
      <c r="F21" s="2239"/>
      <c r="G21" s="2239"/>
      <c r="H21" s="2239"/>
      <c r="I21"/>
      <c r="J21"/>
      <c r="K21"/>
      <c r="L21"/>
      <c r="M21"/>
      <c r="N21"/>
      <c r="O21"/>
      <c r="P21"/>
      <c r="Q21"/>
      <c r="R21"/>
      <c r="S21"/>
      <c r="T21"/>
      <c r="U21"/>
    </row>
    <row r="22" spans="1:21" s="1093" customFormat="1" ht="25.5" customHeight="1">
      <c r="A22" s="3002" t="s">
        <v>1482</v>
      </c>
      <c r="B22" s="3002"/>
      <c r="C22" s="3002"/>
      <c r="D22" s="3002"/>
      <c r="E22" s="3002"/>
      <c r="F22" s="3002"/>
      <c r="G22" s="3002"/>
      <c r="H22" s="3002"/>
      <c r="I22"/>
      <c r="J22"/>
      <c r="K22"/>
      <c r="L22"/>
      <c r="M22"/>
      <c r="N22"/>
      <c r="O22"/>
      <c r="P22"/>
      <c r="Q22"/>
      <c r="R22"/>
      <c r="S22"/>
      <c r="T22"/>
      <c r="U22"/>
    </row>
    <row r="23" spans="1:21" s="1094" customFormat="1" ht="25.5" customHeight="1">
      <c r="A23" s="2261" t="s">
        <v>1092</v>
      </c>
      <c r="B23" s="2261"/>
      <c r="C23" s="2261"/>
      <c r="D23" s="2261"/>
      <c r="E23" s="2261"/>
      <c r="F23" s="2261"/>
      <c r="G23" s="2261"/>
      <c r="H23" s="2261"/>
      <c r="I23"/>
      <c r="J23"/>
      <c r="K23"/>
      <c r="L23"/>
      <c r="M23"/>
      <c r="N23"/>
      <c r="O23"/>
      <c r="P23"/>
      <c r="Q23"/>
      <c r="R23"/>
      <c r="S23"/>
      <c r="T23"/>
      <c r="U23"/>
    </row>
    <row r="24" spans="1:21" s="1093" customFormat="1" ht="30.75" customHeight="1">
      <c r="A24" s="2239" t="s">
        <v>1483</v>
      </c>
      <c r="B24" s="2239"/>
      <c r="C24" s="2239"/>
      <c r="D24" s="2239"/>
      <c r="E24" s="2239"/>
      <c r="F24" s="2239"/>
      <c r="G24" s="2239"/>
      <c r="H24" s="2239"/>
      <c r="I24"/>
      <c r="J24"/>
      <c r="K24"/>
      <c r="L24"/>
      <c r="M24"/>
      <c r="N24"/>
      <c r="O24"/>
      <c r="P24"/>
      <c r="Q24"/>
      <c r="R24"/>
      <c r="S24"/>
      <c r="T24"/>
      <c r="U24"/>
    </row>
    <row r="26" spans="1:21" s="1093" customFormat="1" ht="13.35" customHeight="1">
      <c r="A26" s="2244" t="s">
        <v>2080</v>
      </c>
      <c r="B26" s="2244"/>
      <c r="C26" s="2244"/>
      <c r="D26" s="2244"/>
      <c r="E26" s="2244"/>
      <c r="F26" s="2244"/>
      <c r="G26" s="2244"/>
      <c r="H26" s="2244"/>
      <c r="I26"/>
      <c r="J26"/>
      <c r="K26"/>
      <c r="L26"/>
      <c r="M26"/>
      <c r="N26"/>
      <c r="O26"/>
      <c r="P26"/>
      <c r="Q26"/>
      <c r="R26"/>
      <c r="S26"/>
      <c r="T26"/>
      <c r="U26"/>
    </row>
    <row r="28" spans="1:21" s="1093" customFormat="1" ht="38.25" customHeight="1">
      <c r="A28" s="2239" t="s">
        <v>1484</v>
      </c>
      <c r="B28" s="2239"/>
      <c r="C28" s="2239"/>
      <c r="D28" s="2239"/>
      <c r="E28" s="2239"/>
      <c r="F28" s="2239"/>
      <c r="G28" s="2239"/>
      <c r="H28" s="2239"/>
      <c r="I28"/>
      <c r="J28"/>
      <c r="K28"/>
      <c r="L28"/>
      <c r="M28"/>
      <c r="N28"/>
      <c r="O28"/>
      <c r="P28"/>
      <c r="Q28"/>
      <c r="R28"/>
      <c r="S28"/>
      <c r="T28"/>
      <c r="U28"/>
    </row>
    <row r="30" spans="1:21" s="1093" customFormat="1" ht="30.75" customHeight="1">
      <c r="A30" s="2997" t="s">
        <v>1485</v>
      </c>
      <c r="B30" s="2997"/>
      <c r="C30" s="2997"/>
      <c r="D30" s="2997"/>
      <c r="E30" s="2997"/>
      <c r="F30" s="2997"/>
      <c r="G30" s="2997"/>
      <c r="H30" s="2997"/>
      <c r="I30"/>
      <c r="J30"/>
      <c r="K30"/>
      <c r="L30"/>
      <c r="M30"/>
      <c r="N30"/>
      <c r="O30"/>
      <c r="P30"/>
      <c r="Q30"/>
      <c r="R30"/>
      <c r="S30"/>
      <c r="T30"/>
      <c r="U30"/>
    </row>
    <row r="31" spans="1:21" s="1093" customFormat="1" ht="12.75" customHeight="1">
      <c r="A31" s="2241" t="s">
        <v>1500</v>
      </c>
      <c r="B31" s="2241"/>
      <c r="C31" s="2241"/>
      <c r="D31" s="2241"/>
      <c r="E31" s="2241"/>
      <c r="F31" s="2241"/>
      <c r="G31" s="2241"/>
      <c r="H31" s="2241"/>
      <c r="I31"/>
      <c r="J31"/>
      <c r="K31"/>
      <c r="L31"/>
      <c r="M31"/>
      <c r="N31"/>
      <c r="O31"/>
      <c r="P31"/>
      <c r="Q31"/>
      <c r="R31"/>
      <c r="S31"/>
      <c r="T31"/>
      <c r="U31"/>
    </row>
    <row r="32" spans="1:21" s="1093" customFormat="1" ht="12.75" customHeight="1">
      <c r="A32" s="2241" t="s">
        <v>1093</v>
      </c>
      <c r="B32" s="2241"/>
      <c r="C32" s="2241"/>
      <c r="D32" s="2241"/>
      <c r="E32" s="2241"/>
      <c r="F32" s="2241"/>
      <c r="G32" s="2241"/>
      <c r="H32" s="2241"/>
      <c r="I32"/>
      <c r="J32"/>
      <c r="K32"/>
      <c r="L32"/>
      <c r="M32"/>
      <c r="N32"/>
      <c r="O32"/>
      <c r="P32"/>
      <c r="Q32"/>
      <c r="R32"/>
      <c r="S32"/>
      <c r="T32"/>
      <c r="U32"/>
    </row>
    <row r="33" spans="1:21" s="1093" customFormat="1">
      <c r="A33"/>
      <c r="B33"/>
      <c r="C33"/>
      <c r="D33"/>
      <c r="E33"/>
      <c r="F33"/>
      <c r="G33"/>
      <c r="H33"/>
      <c r="I33"/>
      <c r="J33"/>
      <c r="K33"/>
      <c r="L33"/>
      <c r="M33"/>
      <c r="N33"/>
      <c r="O33"/>
      <c r="P33"/>
      <c r="Q33"/>
      <c r="R33"/>
      <c r="S33"/>
      <c r="T33"/>
      <c r="U33"/>
    </row>
    <row r="34" spans="1:21" s="1093" customFormat="1" ht="53.85" customHeight="1">
      <c r="A34" s="2366" t="s">
        <v>1486</v>
      </c>
      <c r="B34" s="2366"/>
      <c r="C34" s="2366"/>
      <c r="D34" s="2366"/>
      <c r="E34" s="2366"/>
      <c r="F34" s="2366"/>
      <c r="G34" s="2366"/>
      <c r="H34" s="2366"/>
      <c r="I34"/>
      <c r="J34"/>
      <c r="K34"/>
      <c r="L34"/>
      <c r="M34"/>
      <c r="N34"/>
      <c r="O34"/>
      <c r="P34"/>
      <c r="Q34"/>
      <c r="R34"/>
      <c r="S34"/>
      <c r="T34"/>
      <c r="U34"/>
    </row>
    <row r="35" spans="1:21" s="1093" customFormat="1">
      <c r="A35"/>
      <c r="B35"/>
      <c r="C35"/>
      <c r="D35"/>
      <c r="E35"/>
      <c r="F35"/>
      <c r="G35"/>
      <c r="H35"/>
      <c r="I35"/>
      <c r="J35"/>
      <c r="K35"/>
      <c r="L35"/>
      <c r="M35"/>
      <c r="N35"/>
      <c r="O35"/>
      <c r="P35"/>
      <c r="Q35"/>
      <c r="R35"/>
      <c r="S35"/>
      <c r="T35"/>
      <c r="U35"/>
    </row>
    <row r="36" spans="1:21" s="1093" customFormat="1" ht="38.25" customHeight="1">
      <c r="A36" s="2997" t="s">
        <v>2294</v>
      </c>
      <c r="B36" s="2997"/>
      <c r="C36" s="2997"/>
      <c r="D36" s="2997"/>
      <c r="E36" s="2997"/>
      <c r="F36" s="2997"/>
      <c r="G36" s="2997"/>
      <c r="H36" s="2997"/>
      <c r="I36"/>
      <c r="J36"/>
      <c r="K36"/>
      <c r="L36"/>
      <c r="M36"/>
      <c r="N36"/>
      <c r="O36"/>
      <c r="P36"/>
      <c r="Q36"/>
      <c r="R36"/>
      <c r="S36"/>
      <c r="T36"/>
      <c r="U36"/>
    </row>
    <row r="37" spans="1:21" s="1093" customFormat="1" ht="12.75" customHeight="1">
      <c r="A37"/>
      <c r="B37"/>
      <c r="C37"/>
      <c r="D37"/>
      <c r="E37"/>
      <c r="F37"/>
      <c r="G37"/>
      <c r="H37"/>
      <c r="I37"/>
      <c r="J37"/>
      <c r="K37"/>
      <c r="L37"/>
      <c r="M37"/>
      <c r="N37"/>
      <c r="O37"/>
      <c r="P37"/>
      <c r="Q37"/>
      <c r="R37"/>
      <c r="S37"/>
      <c r="T37"/>
      <c r="U37"/>
    </row>
    <row r="38" spans="1:21" s="1093" customFormat="1" ht="13.35" customHeight="1">
      <c r="A38" s="2244" t="s">
        <v>35</v>
      </c>
      <c r="B38" s="2244"/>
      <c r="C38" s="2244"/>
      <c r="D38" s="2244"/>
      <c r="E38" s="2244"/>
      <c r="F38" s="2244"/>
      <c r="G38" s="2244"/>
      <c r="H38" s="2244"/>
      <c r="I38"/>
      <c r="J38"/>
      <c r="K38"/>
      <c r="L38"/>
      <c r="M38"/>
      <c r="N38"/>
      <c r="O38"/>
      <c r="P38"/>
      <c r="Q38"/>
      <c r="R38"/>
      <c r="S38"/>
      <c r="T38"/>
      <c r="U38"/>
    </row>
    <row r="39" spans="1:21" s="1093" customFormat="1">
      <c r="A39"/>
      <c r="B39"/>
      <c r="C39"/>
      <c r="D39"/>
      <c r="E39"/>
      <c r="F39"/>
      <c r="G39"/>
      <c r="H39"/>
      <c r="I39"/>
      <c r="J39"/>
      <c r="K39"/>
      <c r="L39"/>
      <c r="M39"/>
      <c r="N39"/>
      <c r="O39"/>
      <c r="P39"/>
      <c r="Q39"/>
      <c r="R39"/>
      <c r="S39"/>
      <c r="T39"/>
      <c r="U39"/>
    </row>
    <row r="40" spans="1:21" s="1093" customFormat="1" ht="38.25" customHeight="1">
      <c r="A40" s="2240" t="s">
        <v>2295</v>
      </c>
      <c r="B40" s="2240"/>
      <c r="C40" s="2240"/>
      <c r="D40" s="2240"/>
      <c r="E40" s="2240"/>
      <c r="F40" s="2240"/>
      <c r="G40" s="2240"/>
      <c r="H40" s="2240"/>
      <c r="I40"/>
      <c r="J40"/>
      <c r="K40"/>
      <c r="L40"/>
      <c r="M40"/>
      <c r="N40"/>
      <c r="O40"/>
      <c r="P40"/>
      <c r="Q40"/>
      <c r="R40"/>
      <c r="S40"/>
      <c r="T40"/>
      <c r="U40"/>
    </row>
    <row r="41" spans="1:21" s="1093" customFormat="1">
      <c r="A41"/>
      <c r="B41"/>
      <c r="C41"/>
      <c r="D41"/>
      <c r="E41"/>
      <c r="F41"/>
      <c r="G41"/>
      <c r="H41"/>
      <c r="I41"/>
      <c r="J41"/>
      <c r="K41"/>
      <c r="L41"/>
      <c r="M41"/>
      <c r="N41"/>
      <c r="O41"/>
      <c r="P41"/>
      <c r="Q41"/>
      <c r="R41"/>
      <c r="S41"/>
      <c r="T41"/>
      <c r="U41"/>
    </row>
    <row r="42" spans="1:21" s="1093" customFormat="1" ht="25.5" customHeight="1">
      <c r="A42" s="2240" t="s">
        <v>1413</v>
      </c>
      <c r="B42" s="2240"/>
      <c r="C42" s="2240"/>
      <c r="D42" s="2240"/>
      <c r="E42" s="2240"/>
      <c r="F42" s="2240"/>
      <c r="G42" s="2240"/>
      <c r="H42" s="2240"/>
      <c r="I42"/>
      <c r="J42"/>
      <c r="K42"/>
      <c r="L42"/>
      <c r="M42"/>
      <c r="N42"/>
      <c r="O42"/>
      <c r="P42"/>
      <c r="Q42"/>
      <c r="R42"/>
      <c r="S42"/>
      <c r="T42"/>
      <c r="U42"/>
    </row>
    <row r="43" spans="1:21" s="1093" customFormat="1">
      <c r="A43"/>
      <c r="B43"/>
      <c r="C43"/>
      <c r="D43"/>
      <c r="E43"/>
      <c r="F43"/>
      <c r="G43"/>
      <c r="H43"/>
      <c r="I43"/>
      <c r="J43"/>
      <c r="K43"/>
      <c r="L43"/>
      <c r="M43"/>
      <c r="N43"/>
      <c r="O43"/>
      <c r="P43"/>
      <c r="Q43"/>
      <c r="R43"/>
      <c r="S43"/>
      <c r="T43"/>
      <c r="U43"/>
    </row>
    <row r="44" spans="1:21" s="1093" customFormat="1" ht="76.5" customHeight="1">
      <c r="A44" s="2240" t="s">
        <v>1865</v>
      </c>
      <c r="B44" s="2240"/>
      <c r="C44" s="2240"/>
      <c r="D44" s="2240"/>
      <c r="E44" s="2240"/>
      <c r="F44" s="2240"/>
      <c r="G44" s="2240"/>
      <c r="H44" s="2240"/>
      <c r="I44"/>
      <c r="J44"/>
      <c r="K44"/>
      <c r="L44"/>
      <c r="M44"/>
      <c r="N44"/>
      <c r="O44"/>
      <c r="P44"/>
      <c r="Q44"/>
      <c r="R44"/>
      <c r="S44"/>
      <c r="T44"/>
      <c r="U44"/>
    </row>
    <row r="45" spans="1:21" s="1093" customFormat="1">
      <c r="A45"/>
      <c r="B45"/>
      <c r="C45"/>
      <c r="D45"/>
      <c r="E45"/>
      <c r="F45"/>
      <c r="G45"/>
      <c r="H45"/>
      <c r="I45"/>
      <c r="J45"/>
      <c r="K45"/>
      <c r="L45"/>
      <c r="M45"/>
      <c r="N45"/>
      <c r="O45"/>
      <c r="P45"/>
      <c r="Q45"/>
      <c r="R45"/>
      <c r="S45"/>
      <c r="T45"/>
      <c r="U45"/>
    </row>
    <row r="46" spans="1:21" s="1093" customFormat="1" ht="25.5" customHeight="1">
      <c r="A46" s="2240" t="s">
        <v>1866</v>
      </c>
      <c r="B46" s="2240"/>
      <c r="C46" s="2240"/>
      <c r="D46" s="2240"/>
      <c r="E46" s="2240"/>
      <c r="F46" s="2240"/>
      <c r="G46" s="2240"/>
      <c r="H46" s="2240"/>
      <c r="I46"/>
      <c r="J46"/>
      <c r="K46"/>
      <c r="L46"/>
      <c r="M46"/>
      <c r="N46"/>
      <c r="O46"/>
      <c r="P46"/>
      <c r="Q46"/>
      <c r="R46"/>
      <c r="S46"/>
      <c r="T46"/>
      <c r="U46"/>
    </row>
    <row r="47" spans="1:21" s="1093" customFormat="1">
      <c r="A47"/>
      <c r="B47"/>
      <c r="C47"/>
      <c r="D47"/>
      <c r="E47"/>
      <c r="F47"/>
      <c r="G47"/>
      <c r="H47"/>
      <c r="I47"/>
      <c r="J47"/>
      <c r="K47"/>
      <c r="L47"/>
      <c r="M47"/>
      <c r="N47"/>
      <c r="O47"/>
      <c r="P47"/>
      <c r="Q47"/>
      <c r="R47"/>
      <c r="S47"/>
      <c r="T47"/>
      <c r="U47"/>
    </row>
    <row r="48" spans="1:21" s="1093" customFormat="1" ht="25.5" customHeight="1">
      <c r="A48" s="2240" t="s">
        <v>1848</v>
      </c>
      <c r="B48" s="2240"/>
      <c r="C48" s="2240"/>
      <c r="D48" s="2240"/>
      <c r="E48" s="2240"/>
      <c r="F48" s="2240"/>
      <c r="G48" s="2240"/>
      <c r="H48" s="2240"/>
      <c r="I48"/>
      <c r="J48"/>
      <c r="K48"/>
      <c r="L48"/>
      <c r="M48"/>
      <c r="N48"/>
      <c r="O48"/>
      <c r="P48"/>
      <c r="Q48"/>
      <c r="R48"/>
      <c r="S48"/>
      <c r="T48"/>
      <c r="U48"/>
    </row>
    <row r="49" spans="1:21" s="1093" customFormat="1">
      <c r="A49"/>
      <c r="B49"/>
      <c r="C49"/>
      <c r="D49"/>
      <c r="E49"/>
      <c r="F49"/>
      <c r="G49"/>
      <c r="H49"/>
      <c r="I49"/>
      <c r="J49"/>
      <c r="K49"/>
      <c r="L49"/>
      <c r="M49"/>
      <c r="N49"/>
      <c r="O49"/>
      <c r="P49"/>
      <c r="Q49"/>
      <c r="R49"/>
      <c r="S49"/>
      <c r="T49"/>
      <c r="U49"/>
    </row>
    <row r="50" spans="1:21" s="1093" customFormat="1" ht="29.25" customHeight="1">
      <c r="A50" s="2240" t="s">
        <v>1867</v>
      </c>
      <c r="B50" s="2240"/>
      <c r="C50" s="2240"/>
      <c r="D50" s="2240"/>
      <c r="E50" s="2240"/>
      <c r="F50" s="2240"/>
      <c r="G50" s="2240"/>
      <c r="H50" s="2240"/>
      <c r="I50"/>
      <c r="J50"/>
      <c r="K50"/>
      <c r="L50"/>
      <c r="M50"/>
      <c r="N50"/>
      <c r="O50"/>
      <c r="P50"/>
      <c r="Q50"/>
      <c r="R50"/>
      <c r="S50"/>
      <c r="T50"/>
      <c r="U50"/>
    </row>
    <row r="51" spans="1:21" s="1093" customFormat="1" ht="16.5" customHeight="1">
      <c r="A51"/>
      <c r="B51"/>
      <c r="C51"/>
      <c r="D51"/>
      <c r="E51"/>
      <c r="F51"/>
      <c r="G51"/>
      <c r="H51"/>
      <c r="I51"/>
      <c r="J51"/>
      <c r="K51"/>
      <c r="L51"/>
      <c r="M51"/>
      <c r="N51"/>
      <c r="O51"/>
      <c r="P51"/>
      <c r="Q51"/>
      <c r="R51"/>
      <c r="S51"/>
      <c r="T51"/>
      <c r="U51"/>
    </row>
    <row r="52" spans="1:21" s="1093" customFormat="1" ht="24" customHeight="1">
      <c r="A52" s="2244" t="s">
        <v>743</v>
      </c>
      <c r="B52" s="2244"/>
      <c r="C52" s="2244"/>
      <c r="D52" s="2244"/>
      <c r="E52" s="2244"/>
      <c r="F52" s="2244"/>
      <c r="G52" s="2244"/>
      <c r="H52" s="2244"/>
      <c r="I52"/>
      <c r="J52"/>
      <c r="K52"/>
      <c r="L52"/>
      <c r="M52"/>
      <c r="N52"/>
      <c r="O52"/>
      <c r="P52"/>
      <c r="Q52"/>
      <c r="R52"/>
      <c r="S52"/>
      <c r="T52"/>
      <c r="U52"/>
    </row>
    <row r="53" spans="1:21" s="1093" customFormat="1" ht="54" customHeight="1">
      <c r="A53" s="2242" t="s">
        <v>2392</v>
      </c>
      <c r="B53" s="2242"/>
      <c r="C53" s="2242"/>
      <c r="D53" s="2242"/>
      <c r="E53" s="2242"/>
      <c r="F53" s="2242"/>
      <c r="G53" s="2242"/>
      <c r="H53" s="2242"/>
      <c r="I53"/>
      <c r="J53"/>
      <c r="K53"/>
      <c r="L53"/>
      <c r="M53"/>
      <c r="N53"/>
      <c r="O53"/>
      <c r="P53"/>
      <c r="Q53"/>
      <c r="R53"/>
      <c r="S53"/>
      <c r="T53"/>
      <c r="U53"/>
    </row>
    <row r="54" spans="1:21" s="1093" customFormat="1" ht="13.35" customHeight="1">
      <c r="A54" s="3001" t="s">
        <v>333</v>
      </c>
      <c r="B54" s="3001"/>
      <c r="C54" s="3001"/>
      <c r="D54" s="3001"/>
      <c r="E54" s="3001"/>
      <c r="F54" s="3001"/>
      <c r="G54" s="3001"/>
      <c r="H54" s="3001"/>
      <c r="I54"/>
      <c r="J54"/>
      <c r="K54"/>
      <c r="L54"/>
      <c r="M54"/>
      <c r="N54"/>
      <c r="O54"/>
      <c r="P54"/>
      <c r="Q54"/>
      <c r="R54"/>
      <c r="S54"/>
      <c r="T54"/>
      <c r="U54"/>
    </row>
    <row r="55" spans="1:21" s="1093" customFormat="1" ht="54" customHeight="1">
      <c r="A55" s="2671" t="s">
        <v>2393</v>
      </c>
      <c r="B55" s="2671"/>
      <c r="C55" s="2671"/>
      <c r="D55" s="2671"/>
      <c r="E55" s="2671"/>
      <c r="F55" s="2671"/>
      <c r="G55" s="2671"/>
      <c r="H55" s="2671"/>
      <c r="I55"/>
      <c r="J55"/>
      <c r="K55"/>
      <c r="L55"/>
      <c r="M55"/>
      <c r="N55"/>
      <c r="O55"/>
      <c r="P55"/>
      <c r="Q55"/>
      <c r="R55"/>
      <c r="S55"/>
      <c r="T55"/>
      <c r="U55"/>
    </row>
    <row r="56" spans="1:21" s="1093" customFormat="1" ht="26.25" customHeight="1">
      <c r="A56" s="2671" t="s">
        <v>637</v>
      </c>
      <c r="B56" s="2671"/>
      <c r="C56" s="2671"/>
      <c r="D56" s="2671"/>
      <c r="E56" s="2671"/>
      <c r="F56" s="2671"/>
      <c r="G56" s="2671"/>
      <c r="H56" s="2671"/>
      <c r="I56"/>
      <c r="J56"/>
      <c r="K56"/>
      <c r="L56"/>
      <c r="M56"/>
      <c r="N56"/>
      <c r="O56"/>
      <c r="P56"/>
      <c r="Q56"/>
      <c r="R56"/>
      <c r="S56"/>
      <c r="T56"/>
      <c r="U56"/>
    </row>
    <row r="57" spans="1:21" s="1093" customFormat="1">
      <c r="A57"/>
      <c r="B57"/>
      <c r="C57"/>
      <c r="D57"/>
      <c r="E57"/>
      <c r="F57"/>
      <c r="G57"/>
      <c r="H57"/>
      <c r="I57"/>
      <c r="J57"/>
      <c r="K57"/>
      <c r="L57"/>
      <c r="M57"/>
      <c r="N57"/>
      <c r="O57"/>
      <c r="P57"/>
      <c r="Q57"/>
      <c r="R57"/>
      <c r="S57"/>
      <c r="T57"/>
      <c r="U57"/>
    </row>
    <row r="58" spans="1:21" s="1093" customFormat="1" ht="13.35" customHeight="1">
      <c r="A58" s="1104"/>
      <c r="B58" s="3000" t="s">
        <v>566</v>
      </c>
      <c r="C58" s="3000"/>
      <c r="D58" s="3000"/>
      <c r="E58" s="3000"/>
      <c r="F58" s="1151" t="s">
        <v>707</v>
      </c>
      <c r="G58" s="1151" t="s">
        <v>708</v>
      </c>
      <c r="H58" s="1104"/>
      <c r="I58"/>
      <c r="J58"/>
      <c r="K58"/>
      <c r="L58"/>
      <c r="M58"/>
      <c r="N58"/>
      <c r="O58"/>
      <c r="P58"/>
      <c r="Q58"/>
      <c r="R58"/>
      <c r="S58"/>
      <c r="T58"/>
      <c r="U58"/>
    </row>
    <row r="59" spans="1:21" s="1093" customFormat="1" ht="13.35" customHeight="1">
      <c r="A59" s="1104"/>
      <c r="B59" s="2995" t="s">
        <v>334</v>
      </c>
      <c r="C59" s="2995"/>
      <c r="D59" s="2995"/>
      <c r="E59" s="2995"/>
      <c r="F59" s="1151"/>
      <c r="G59" s="1151">
        <v>1</v>
      </c>
      <c r="H59" s="1104"/>
      <c r="I59"/>
      <c r="J59"/>
      <c r="K59"/>
      <c r="L59"/>
      <c r="M59"/>
      <c r="N59"/>
      <c r="O59"/>
      <c r="P59"/>
      <c r="Q59"/>
      <c r="R59"/>
      <c r="S59"/>
      <c r="T59"/>
      <c r="U59"/>
    </row>
    <row r="60" spans="1:21" s="1093" customFormat="1" ht="13.35" customHeight="1">
      <c r="A60" s="1104"/>
      <c r="B60" s="2995" t="s">
        <v>636</v>
      </c>
      <c r="C60" s="2995"/>
      <c r="D60" s="2995"/>
      <c r="E60" s="2995"/>
      <c r="F60" s="1151"/>
      <c r="G60" s="1151">
        <v>1</v>
      </c>
      <c r="H60" s="1104"/>
      <c r="I60"/>
      <c r="J60"/>
      <c r="K60"/>
      <c r="L60"/>
      <c r="M60"/>
      <c r="N60"/>
      <c r="O60"/>
      <c r="P60"/>
      <c r="Q60"/>
      <c r="R60"/>
      <c r="S60"/>
      <c r="T60"/>
      <c r="U60"/>
    </row>
    <row r="61" spans="1:21" s="1093" customFormat="1" ht="13.35" customHeight="1">
      <c r="A61" s="1104"/>
      <c r="B61" s="2995" t="s">
        <v>335</v>
      </c>
      <c r="C61" s="2995"/>
      <c r="D61" s="2995"/>
      <c r="E61" s="2995"/>
      <c r="F61" s="1151">
        <v>1</v>
      </c>
      <c r="G61" s="1151"/>
      <c r="H61" s="1104"/>
      <c r="I61"/>
      <c r="J61"/>
      <c r="K61"/>
      <c r="L61"/>
      <c r="M61"/>
      <c r="N61"/>
      <c r="O61"/>
      <c r="P61"/>
      <c r="Q61"/>
      <c r="R61"/>
      <c r="S61"/>
      <c r="T61"/>
      <c r="U61"/>
    </row>
    <row r="62" spans="1:21" s="1093" customFormat="1" ht="13.35" customHeight="1">
      <c r="A62" s="1104"/>
      <c r="B62" s="2995" t="s">
        <v>336</v>
      </c>
      <c r="C62" s="2995"/>
      <c r="D62" s="2995"/>
      <c r="E62" s="2995"/>
      <c r="F62" s="1151">
        <v>1</v>
      </c>
      <c r="G62" s="1151"/>
      <c r="H62" s="1104"/>
      <c r="I62"/>
      <c r="J62"/>
      <c r="K62"/>
      <c r="L62"/>
      <c r="M62"/>
      <c r="N62"/>
      <c r="O62"/>
      <c r="P62"/>
      <c r="Q62"/>
      <c r="R62"/>
      <c r="S62"/>
      <c r="T62"/>
      <c r="U62"/>
    </row>
    <row r="63" spans="1:21" s="1093" customFormat="1" ht="12.75" customHeight="1">
      <c r="A63"/>
      <c r="B63"/>
      <c r="C63"/>
      <c r="D63"/>
      <c r="E63"/>
      <c r="F63"/>
      <c r="G63"/>
      <c r="H63"/>
      <c r="I63"/>
      <c r="J63"/>
      <c r="K63"/>
      <c r="L63"/>
      <c r="M63"/>
      <c r="N63"/>
      <c r="O63"/>
      <c r="P63"/>
      <c r="Q63"/>
      <c r="R63"/>
      <c r="S63"/>
      <c r="T63"/>
      <c r="U63"/>
    </row>
    <row r="64" spans="1:21" s="1093" customFormat="1" ht="12.75" customHeight="1">
      <c r="A64"/>
      <c r="B64"/>
      <c r="C64"/>
      <c r="D64"/>
      <c r="E64"/>
      <c r="F64"/>
      <c r="G64"/>
      <c r="H64"/>
      <c r="I64"/>
      <c r="J64"/>
      <c r="K64"/>
      <c r="L64"/>
      <c r="M64"/>
      <c r="N64"/>
      <c r="O64"/>
      <c r="P64"/>
      <c r="Q64"/>
      <c r="R64"/>
      <c r="S64"/>
      <c r="T64"/>
      <c r="U64"/>
    </row>
    <row r="65" spans="1:256" s="1093" customFormat="1">
      <c r="A65" s="2996" t="s">
        <v>1888</v>
      </c>
      <c r="B65" s="2996"/>
      <c r="C65" s="2996"/>
      <c r="D65" s="2996"/>
      <c r="E65" s="2996"/>
      <c r="F65" s="2996"/>
      <c r="G65" s="2996"/>
      <c r="H65" s="2996"/>
      <c r="I65"/>
      <c r="J65"/>
      <c r="K65"/>
      <c r="L65"/>
      <c r="M65"/>
      <c r="N65"/>
      <c r="O65"/>
      <c r="P65"/>
      <c r="Q65"/>
      <c r="R65"/>
      <c r="S65"/>
      <c r="T65"/>
      <c r="U65"/>
    </row>
    <row r="66" spans="1:256" s="1098" customFormat="1" ht="12.75" customHeight="1">
      <c r="A66" s="2997" t="s">
        <v>2570</v>
      </c>
      <c r="B66" s="2997"/>
      <c r="C66" s="2997"/>
      <c r="D66" s="2997"/>
      <c r="E66" s="2997"/>
      <c r="F66" s="2997"/>
      <c r="G66" s="2997"/>
      <c r="H66" s="2997"/>
      <c r="I66"/>
      <c r="J66"/>
      <c r="K66"/>
      <c r="L66"/>
      <c r="M66"/>
      <c r="N66"/>
      <c r="O66"/>
      <c r="P66"/>
      <c r="Q66"/>
      <c r="R66"/>
      <c r="S66"/>
      <c r="T66"/>
      <c r="U66"/>
      <c r="V66" s="1097"/>
      <c r="W66" s="1097"/>
      <c r="X66" s="1097"/>
      <c r="Y66" s="1097"/>
      <c r="Z66" s="1097"/>
      <c r="AA66" s="1097"/>
      <c r="AB66" s="1097"/>
      <c r="AC66" s="1097"/>
      <c r="AD66" s="1097"/>
      <c r="AE66" s="1097"/>
      <c r="AF66" s="1097"/>
      <c r="AG66" s="1097"/>
      <c r="AH66" s="1097"/>
      <c r="AI66" s="1097"/>
      <c r="AJ66" s="1097"/>
      <c r="AK66" s="1097"/>
      <c r="AL66" s="1097"/>
      <c r="AM66" s="1097"/>
      <c r="AN66" s="1097"/>
      <c r="AO66" s="1097"/>
      <c r="AP66" s="1097"/>
      <c r="AQ66" s="1097"/>
      <c r="AR66" s="1097"/>
      <c r="AS66" s="1097"/>
      <c r="AT66" s="1097"/>
      <c r="AU66" s="1097"/>
      <c r="AV66" s="1097"/>
      <c r="AW66" s="1097"/>
      <c r="AX66" s="1097"/>
      <c r="AY66" s="1097"/>
      <c r="AZ66" s="1097"/>
      <c r="BA66" s="1097"/>
      <c r="BB66" s="1097"/>
      <c r="BC66" s="1097"/>
      <c r="BD66" s="1097"/>
      <c r="BE66" s="1097"/>
      <c r="BF66" s="1097"/>
      <c r="BG66" s="1097"/>
      <c r="BH66" s="1097"/>
      <c r="BI66" s="1097"/>
      <c r="BJ66" s="1097"/>
      <c r="BK66" s="1097"/>
      <c r="BL66" s="1097"/>
      <c r="BM66" s="1097"/>
      <c r="BN66" s="1097"/>
      <c r="BO66" s="1097"/>
      <c r="BP66" s="1097"/>
      <c r="BQ66" s="1097"/>
      <c r="BR66" s="1097"/>
      <c r="BS66" s="1097"/>
      <c r="BT66" s="1097"/>
      <c r="BU66" s="1097"/>
      <c r="BV66" s="1097"/>
      <c r="BW66" s="1097"/>
      <c r="BX66" s="1097"/>
      <c r="BY66" s="1097"/>
      <c r="BZ66" s="1097"/>
      <c r="CA66" s="1097"/>
      <c r="CB66" s="1097"/>
      <c r="CC66" s="1097"/>
      <c r="CD66" s="1097"/>
      <c r="CE66" s="1097"/>
      <c r="CF66" s="1097"/>
      <c r="CG66" s="1097"/>
      <c r="CH66" s="1097"/>
      <c r="CI66" s="1097"/>
      <c r="CJ66" s="1097"/>
      <c r="CK66" s="1097"/>
      <c r="CL66" s="1097"/>
      <c r="CM66" s="1097"/>
      <c r="CN66" s="1097"/>
      <c r="CO66" s="1097"/>
      <c r="CP66" s="1097"/>
      <c r="CQ66" s="1097"/>
      <c r="CR66" s="1097"/>
      <c r="CS66" s="1097"/>
      <c r="CT66" s="1097"/>
      <c r="CU66" s="1097"/>
      <c r="CV66" s="1097"/>
      <c r="CW66" s="1097"/>
      <c r="CX66" s="1097"/>
      <c r="CY66" s="1097"/>
      <c r="CZ66" s="1097"/>
      <c r="DA66" s="1097"/>
      <c r="DB66" s="1097"/>
      <c r="DC66" s="1097"/>
      <c r="DD66" s="1097"/>
      <c r="DE66" s="1097"/>
      <c r="DF66" s="1097"/>
      <c r="DG66" s="1097"/>
      <c r="DH66" s="1097"/>
      <c r="DI66" s="1097"/>
      <c r="DJ66" s="1097"/>
      <c r="DK66" s="1097"/>
      <c r="DL66" s="1097"/>
      <c r="DM66" s="1097"/>
      <c r="DN66" s="1097"/>
      <c r="DO66" s="1097"/>
      <c r="DP66" s="1097"/>
      <c r="DQ66" s="1097"/>
      <c r="DR66" s="1097"/>
      <c r="DS66" s="1097"/>
      <c r="DT66" s="1097"/>
      <c r="DU66" s="1097"/>
      <c r="DV66" s="1097"/>
      <c r="DW66" s="1097"/>
      <c r="DX66" s="1097"/>
      <c r="DY66" s="1097"/>
      <c r="DZ66" s="1097"/>
      <c r="EA66" s="1097"/>
      <c r="EB66" s="1097"/>
      <c r="EC66" s="1097"/>
      <c r="ED66" s="1097"/>
      <c r="EE66" s="1097"/>
      <c r="EF66" s="1097"/>
      <c r="EG66" s="1097"/>
      <c r="EH66" s="1097"/>
      <c r="EI66" s="1097"/>
      <c r="EJ66" s="1097"/>
      <c r="EK66" s="1097"/>
      <c r="EL66" s="1097"/>
      <c r="EM66" s="1097"/>
      <c r="EN66" s="1097"/>
      <c r="EO66" s="1097"/>
      <c r="EP66" s="1097"/>
      <c r="EQ66" s="1097"/>
      <c r="ER66" s="1097"/>
      <c r="ES66" s="1097"/>
      <c r="ET66" s="1097"/>
      <c r="EU66" s="1097"/>
      <c r="EV66" s="1097"/>
      <c r="EW66" s="1097"/>
      <c r="EX66" s="1097"/>
      <c r="EY66" s="1097"/>
      <c r="EZ66" s="1097"/>
      <c r="FA66" s="1097"/>
      <c r="FB66" s="1097"/>
      <c r="FC66" s="1097"/>
      <c r="FD66" s="1097"/>
      <c r="FE66" s="1097"/>
      <c r="FF66" s="1097"/>
      <c r="FG66" s="1097"/>
      <c r="FH66" s="1097"/>
      <c r="FI66" s="1097"/>
      <c r="FJ66" s="1097"/>
      <c r="FK66" s="1097"/>
      <c r="FL66" s="1097"/>
      <c r="FM66" s="1097"/>
      <c r="FN66" s="1097"/>
      <c r="FO66" s="1097"/>
      <c r="FP66" s="1097"/>
      <c r="FQ66" s="1097"/>
      <c r="FR66" s="1097"/>
      <c r="FS66" s="1097"/>
      <c r="FT66" s="1097"/>
      <c r="FU66" s="1097"/>
      <c r="FV66" s="1097"/>
      <c r="FW66" s="1097"/>
      <c r="FX66" s="1097"/>
      <c r="FY66" s="1097"/>
      <c r="FZ66" s="1097"/>
      <c r="GA66" s="1097"/>
      <c r="GB66" s="1097"/>
      <c r="GC66" s="1097"/>
      <c r="GD66" s="1097"/>
      <c r="GE66" s="1097"/>
      <c r="GF66" s="1097"/>
      <c r="GG66" s="1097"/>
      <c r="GH66" s="1097"/>
      <c r="GI66" s="1097"/>
      <c r="GJ66" s="1097"/>
      <c r="GK66" s="1097"/>
      <c r="GL66" s="1097"/>
      <c r="GM66" s="1097"/>
      <c r="GN66" s="1097"/>
      <c r="GO66" s="1097"/>
      <c r="GP66" s="1097"/>
      <c r="GQ66" s="1097"/>
      <c r="GR66" s="1097"/>
      <c r="GS66" s="1097"/>
      <c r="GT66" s="1097"/>
      <c r="GU66" s="1097"/>
      <c r="GV66" s="1097"/>
      <c r="GW66" s="1097"/>
      <c r="GX66" s="1097"/>
      <c r="GY66" s="1097"/>
      <c r="GZ66" s="1097"/>
      <c r="HA66" s="1097"/>
      <c r="HB66" s="1097"/>
      <c r="HC66" s="1097"/>
      <c r="HD66" s="1097"/>
      <c r="HE66" s="1097"/>
      <c r="HF66" s="1097"/>
      <c r="HG66" s="1097"/>
      <c r="HH66" s="1097"/>
      <c r="HI66" s="1097"/>
      <c r="HJ66" s="1097"/>
      <c r="HK66" s="1097"/>
      <c r="HL66" s="1097"/>
      <c r="HM66" s="1097"/>
      <c r="HN66" s="1097"/>
      <c r="HO66" s="1097"/>
      <c r="HP66" s="1097"/>
      <c r="HQ66" s="1097"/>
      <c r="HR66" s="1097"/>
      <c r="HS66" s="1097"/>
      <c r="HT66" s="1097"/>
      <c r="HU66" s="1097"/>
      <c r="HV66" s="1097"/>
      <c r="HW66" s="1097"/>
      <c r="HX66" s="1097"/>
      <c r="HY66" s="1097"/>
      <c r="HZ66" s="1097"/>
      <c r="IA66" s="1097"/>
      <c r="IB66" s="1097"/>
      <c r="IC66" s="1097"/>
      <c r="ID66" s="1097"/>
      <c r="IE66" s="1097"/>
      <c r="IF66" s="1097"/>
      <c r="IG66" s="1097"/>
      <c r="IH66" s="1097"/>
      <c r="II66" s="1097"/>
      <c r="IJ66" s="1097"/>
      <c r="IK66" s="1097"/>
      <c r="IL66" s="1097"/>
      <c r="IM66" s="1097"/>
      <c r="IN66" s="1097"/>
      <c r="IO66" s="1097"/>
      <c r="IP66" s="1097"/>
      <c r="IQ66" s="1097"/>
      <c r="IR66" s="1097"/>
      <c r="IS66" s="1097"/>
      <c r="IT66" s="1097"/>
      <c r="IU66" s="1097"/>
      <c r="IV66" s="1097"/>
    </row>
    <row r="67" spans="1:256" s="1093" customFormat="1" ht="25.5" customHeight="1">
      <c r="A67" s="2259" t="s">
        <v>1868</v>
      </c>
      <c r="B67" s="2259"/>
      <c r="C67" s="2259"/>
      <c r="D67" s="2259"/>
      <c r="E67" s="2259"/>
      <c r="F67" s="2259"/>
      <c r="G67" s="2259"/>
      <c r="H67" s="2259"/>
      <c r="I67"/>
      <c r="J67"/>
      <c r="K67"/>
      <c r="L67"/>
      <c r="M67"/>
      <c r="N67"/>
      <c r="O67"/>
      <c r="P67"/>
      <c r="Q67"/>
      <c r="R67"/>
      <c r="S67"/>
      <c r="T67"/>
      <c r="U67"/>
    </row>
    <row r="68" spans="1:256" s="1093" customFormat="1" ht="25.5" customHeight="1">
      <c r="A68" s="2259" t="s">
        <v>1869</v>
      </c>
      <c r="B68" s="2259"/>
      <c r="C68" s="2259"/>
      <c r="D68" s="2259"/>
      <c r="E68" s="2259"/>
      <c r="F68" s="2259"/>
      <c r="G68" s="2259"/>
      <c r="H68" s="2259"/>
      <c r="I68"/>
      <c r="J68"/>
      <c r="K68"/>
      <c r="L68"/>
      <c r="M68"/>
      <c r="N68"/>
      <c r="O68"/>
      <c r="P68"/>
      <c r="Q68"/>
      <c r="R68"/>
      <c r="S68"/>
      <c r="T68"/>
      <c r="U68"/>
    </row>
    <row r="69" spans="1:256" s="1093" customFormat="1" ht="12.75" customHeight="1">
      <c r="A69" s="2259" t="s">
        <v>1870</v>
      </c>
      <c r="B69" s="2259"/>
      <c r="C69" s="2259"/>
      <c r="D69" s="2259"/>
      <c r="E69" s="2259"/>
      <c r="F69" s="2259"/>
      <c r="G69" s="2259"/>
      <c r="H69" s="2259"/>
      <c r="I69"/>
      <c r="J69"/>
      <c r="K69"/>
      <c r="L69"/>
      <c r="M69"/>
      <c r="N69"/>
      <c r="O69"/>
      <c r="P69"/>
      <c r="Q69"/>
      <c r="R69"/>
      <c r="S69"/>
      <c r="T69"/>
      <c r="U69"/>
    </row>
    <row r="71" spans="1:256" s="1093" customFormat="1" ht="27" customHeight="1">
      <c r="A71" s="2239" t="s">
        <v>1871</v>
      </c>
      <c r="B71" s="2239"/>
      <c r="C71" s="2239"/>
      <c r="D71" s="2239"/>
      <c r="E71" s="2239"/>
      <c r="F71" s="2239"/>
      <c r="G71" s="2239"/>
      <c r="H71" s="2239"/>
      <c r="I71"/>
      <c r="J71"/>
      <c r="K71"/>
      <c r="L71"/>
      <c r="M71"/>
      <c r="N71"/>
      <c r="O71"/>
      <c r="P71"/>
      <c r="Q71"/>
      <c r="R71"/>
      <c r="S71"/>
      <c r="T71"/>
      <c r="U71"/>
    </row>
    <row r="73" spans="1:256" s="1093" customFormat="1" ht="12.75" customHeight="1">
      <c r="A73" s="2239" t="s">
        <v>2571</v>
      </c>
      <c r="B73" s="2239"/>
      <c r="C73" s="2239"/>
      <c r="D73" s="2239"/>
      <c r="E73" s="2239"/>
      <c r="F73" s="2239"/>
      <c r="G73" s="2239"/>
      <c r="H73" s="2239"/>
      <c r="I73"/>
      <c r="J73"/>
      <c r="K73"/>
      <c r="L73"/>
      <c r="M73"/>
      <c r="N73"/>
      <c r="O73"/>
      <c r="P73"/>
      <c r="Q73"/>
      <c r="R73"/>
      <c r="S73"/>
      <c r="T73"/>
      <c r="U73"/>
    </row>
    <row r="74" spans="1:256" s="1093" customFormat="1" ht="39.75" customHeight="1">
      <c r="A74" s="2239"/>
      <c r="B74" s="2239"/>
      <c r="C74" s="2239"/>
      <c r="D74" s="2239"/>
      <c r="E74" s="2239"/>
      <c r="F74" s="2239"/>
      <c r="G74" s="2239"/>
      <c r="H74" s="2239"/>
      <c r="I74"/>
      <c r="J74"/>
      <c r="K74"/>
      <c r="L74"/>
      <c r="M74"/>
      <c r="N74"/>
      <c r="O74"/>
      <c r="P74"/>
      <c r="Q74"/>
      <c r="R74"/>
      <c r="S74"/>
      <c r="T74"/>
      <c r="U74"/>
    </row>
    <row r="75" spans="1:256" s="1093" customFormat="1" ht="12.75" customHeight="1">
      <c r="A75" s="2242" t="s">
        <v>638</v>
      </c>
      <c r="B75" s="2242"/>
      <c r="C75" s="2242"/>
      <c r="D75" s="2242"/>
      <c r="E75" s="2242"/>
      <c r="F75" s="2242"/>
      <c r="G75" s="2242"/>
      <c r="H75" s="2242"/>
      <c r="I75"/>
      <c r="J75"/>
      <c r="K75"/>
      <c r="L75"/>
      <c r="M75"/>
      <c r="N75"/>
      <c r="O75"/>
      <c r="P75"/>
      <c r="Q75"/>
      <c r="R75"/>
      <c r="S75"/>
      <c r="T75"/>
      <c r="U75"/>
    </row>
    <row r="76" spans="1:256" s="1093" customFormat="1">
      <c r="A76" s="2242"/>
      <c r="B76" s="2242"/>
      <c r="C76" s="2242"/>
      <c r="D76" s="2242"/>
      <c r="E76" s="2242"/>
      <c r="F76" s="2242"/>
      <c r="G76" s="2242"/>
      <c r="H76" s="2242"/>
      <c r="I76"/>
      <c r="J76"/>
      <c r="K76"/>
      <c r="L76"/>
      <c r="M76"/>
      <c r="N76"/>
      <c r="O76"/>
      <c r="P76"/>
      <c r="Q76"/>
      <c r="R76"/>
      <c r="S76"/>
      <c r="T76"/>
      <c r="U76"/>
    </row>
    <row r="77" spans="1:256" s="1093" customFormat="1">
      <c r="A77" s="2242"/>
      <c r="B77" s="2242"/>
      <c r="C77" s="2242"/>
      <c r="D77" s="2242"/>
      <c r="E77" s="2242"/>
      <c r="F77" s="2242"/>
      <c r="G77" s="2242"/>
      <c r="H77" s="2242"/>
      <c r="I77"/>
      <c r="J77"/>
      <c r="K77"/>
      <c r="L77"/>
      <c r="M77"/>
      <c r="N77"/>
      <c r="O77"/>
      <c r="P77"/>
      <c r="Q77"/>
      <c r="R77"/>
      <c r="S77"/>
      <c r="T77"/>
      <c r="U77"/>
    </row>
    <row r="78" spans="1:256" s="1093" customFormat="1">
      <c r="A78" s="2242"/>
      <c r="B78" s="2242"/>
      <c r="C78" s="2242"/>
      <c r="D78" s="2242"/>
      <c r="E78" s="2242"/>
      <c r="F78" s="2242"/>
      <c r="G78" s="2242"/>
      <c r="H78" s="2242"/>
      <c r="I78"/>
      <c r="J78"/>
      <c r="K78"/>
      <c r="L78"/>
      <c r="M78"/>
      <c r="N78"/>
      <c r="O78"/>
      <c r="P78"/>
      <c r="Q78"/>
      <c r="R78"/>
      <c r="S78"/>
      <c r="T78"/>
      <c r="U78"/>
    </row>
    <row r="79" spans="1:256" s="1093" customFormat="1" ht="12.95" customHeight="1">
      <c r="A79" s="2242" t="s">
        <v>639</v>
      </c>
      <c r="B79" s="2242"/>
      <c r="C79" s="2242"/>
      <c r="D79" s="2242"/>
      <c r="E79" s="2242"/>
      <c r="F79" s="2242"/>
      <c r="G79" s="2242"/>
      <c r="H79" s="2242"/>
      <c r="I79"/>
      <c r="J79"/>
      <c r="K79"/>
      <c r="L79"/>
      <c r="M79"/>
      <c r="N79"/>
      <c r="O79"/>
      <c r="P79"/>
      <c r="Q79"/>
      <c r="R79"/>
      <c r="S79"/>
      <c r="T79"/>
      <c r="U79"/>
    </row>
    <row r="80" spans="1:256" s="1093" customFormat="1">
      <c r="A80" s="2242"/>
      <c r="B80" s="2242"/>
      <c r="C80" s="2242"/>
      <c r="D80" s="2242"/>
      <c r="E80" s="2242"/>
      <c r="F80" s="2242"/>
      <c r="G80" s="2242"/>
      <c r="H80" s="2242"/>
      <c r="I80"/>
      <c r="J80"/>
      <c r="K80"/>
      <c r="L80"/>
      <c r="M80"/>
      <c r="N80"/>
      <c r="O80"/>
      <c r="P80"/>
      <c r="Q80"/>
      <c r="R80"/>
      <c r="S80"/>
      <c r="T80"/>
      <c r="U80"/>
    </row>
    <row r="81" spans="1:256" s="1093" customFormat="1">
      <c r="A81" s="2242"/>
      <c r="B81" s="2242"/>
      <c r="C81" s="2242"/>
      <c r="D81" s="2242"/>
      <c r="E81" s="2242"/>
      <c r="F81" s="2242"/>
      <c r="G81" s="2242"/>
      <c r="H81" s="2242"/>
      <c r="I81"/>
      <c r="J81"/>
      <c r="K81"/>
      <c r="L81"/>
      <c r="M81"/>
      <c r="N81"/>
      <c r="O81"/>
      <c r="P81"/>
      <c r="Q81"/>
      <c r="R81"/>
      <c r="S81"/>
      <c r="T81"/>
      <c r="U81"/>
    </row>
    <row r="82" spans="1:256" s="1093" customFormat="1" ht="93" customHeight="1">
      <c r="A82" s="2991" t="s">
        <v>1872</v>
      </c>
      <c r="B82" s="2991"/>
      <c r="C82" s="2991"/>
      <c r="D82" s="2991"/>
      <c r="E82" s="2991"/>
      <c r="F82" s="2991"/>
      <c r="G82" s="2991"/>
      <c r="H82" s="2991"/>
      <c r="I82"/>
      <c r="J82"/>
      <c r="K82"/>
      <c r="L82"/>
      <c r="M82"/>
      <c r="N82"/>
      <c r="O82"/>
      <c r="P82"/>
      <c r="Q82"/>
      <c r="R82"/>
      <c r="S82"/>
      <c r="T82"/>
      <c r="U82"/>
    </row>
    <row r="83" spans="1:256" s="1093" customFormat="1">
      <c r="A83" s="1093" t="s">
        <v>1570</v>
      </c>
      <c r="B83" s="1097"/>
      <c r="C83" s="1097"/>
      <c r="D83" s="1097"/>
      <c r="E83" s="1097"/>
      <c r="F83" s="1097"/>
      <c r="G83" s="1097"/>
      <c r="H83" s="1097"/>
      <c r="I83"/>
      <c r="J83"/>
      <c r="K83"/>
      <c r="L83"/>
      <c r="M83"/>
      <c r="N83"/>
      <c r="O83"/>
      <c r="P83"/>
      <c r="Q83"/>
      <c r="R83"/>
      <c r="S83"/>
      <c r="T83"/>
      <c r="U83"/>
    </row>
    <row r="85" spans="1:256" s="1093" customFormat="1" ht="160.5" customHeight="1">
      <c r="A85" s="2992" t="s">
        <v>2178</v>
      </c>
      <c r="B85" s="2992"/>
      <c r="C85" s="2992"/>
      <c r="D85" s="2992"/>
      <c r="E85" s="2992"/>
      <c r="F85" s="2992"/>
      <c r="G85" s="2992"/>
      <c r="H85" s="2992"/>
      <c r="I85"/>
      <c r="J85"/>
      <c r="K85"/>
      <c r="L85"/>
      <c r="M85"/>
      <c r="N85"/>
      <c r="O85"/>
      <c r="P85"/>
      <c r="Q85"/>
      <c r="R85"/>
      <c r="S85"/>
      <c r="T85"/>
      <c r="U85"/>
    </row>
    <row r="86" spans="1:256" s="1093" customFormat="1" ht="242.25" customHeight="1">
      <c r="A86" s="2993" t="s">
        <v>1451</v>
      </c>
      <c r="B86" s="2993"/>
      <c r="C86" s="2993"/>
      <c r="D86" s="2993"/>
      <c r="E86" s="2993"/>
      <c r="F86" s="2993"/>
      <c r="G86" s="2993"/>
      <c r="H86" s="2993"/>
      <c r="I86"/>
      <c r="J86"/>
      <c r="K86"/>
      <c r="L86"/>
      <c r="M86"/>
      <c r="N86"/>
      <c r="O86"/>
      <c r="P86"/>
      <c r="Q86"/>
      <c r="R86"/>
      <c r="S86"/>
      <c r="T86"/>
      <c r="U86"/>
    </row>
    <row r="87" spans="1:256" s="1093" customFormat="1" ht="80.099999999999994" customHeight="1">
      <c r="A87" s="2994" t="s">
        <v>1452</v>
      </c>
      <c r="B87" s="2994"/>
      <c r="C87" s="2994"/>
      <c r="D87" s="2994"/>
      <c r="E87" s="2994"/>
      <c r="F87" s="2994"/>
      <c r="G87" s="2994"/>
      <c r="H87" s="2994"/>
      <c r="I87"/>
      <c r="J87"/>
      <c r="K87"/>
      <c r="L87"/>
      <c r="M87"/>
      <c r="N87"/>
      <c r="O87"/>
      <c r="P87"/>
      <c r="Q87"/>
      <c r="R87"/>
      <c r="S87"/>
      <c r="T87"/>
      <c r="U87"/>
    </row>
    <row r="88" spans="1:256" s="1098" customFormat="1" ht="137.25" customHeight="1">
      <c r="A88" s="2832" t="s">
        <v>1453</v>
      </c>
      <c r="B88" s="2832"/>
      <c r="C88" s="2832"/>
      <c r="D88" s="2832"/>
      <c r="E88" s="2832"/>
      <c r="F88" s="2832"/>
      <c r="G88" s="2832"/>
      <c r="H88" s="2832"/>
      <c r="I88"/>
      <c r="J88"/>
      <c r="K88"/>
      <c r="L88"/>
      <c r="M88"/>
      <c r="N88"/>
      <c r="O88"/>
      <c r="P88"/>
      <c r="Q88"/>
      <c r="R88"/>
      <c r="S88"/>
      <c r="T88"/>
      <c r="U88"/>
      <c r="V88" s="1097"/>
      <c r="W88" s="1097"/>
      <c r="X88" s="1097"/>
      <c r="Y88" s="1097"/>
      <c r="Z88" s="1097"/>
      <c r="AA88" s="1097"/>
      <c r="AB88" s="1097"/>
      <c r="AC88" s="1097"/>
      <c r="AD88" s="1097"/>
      <c r="AE88" s="1097"/>
      <c r="AF88" s="1097"/>
      <c r="AG88" s="1097"/>
      <c r="AH88" s="1097"/>
      <c r="AI88" s="1097"/>
      <c r="AJ88" s="1097"/>
      <c r="AK88" s="1097"/>
      <c r="AL88" s="1097"/>
      <c r="AM88" s="1097"/>
      <c r="AN88" s="1097"/>
      <c r="AO88" s="1097"/>
      <c r="AP88" s="1097"/>
      <c r="AQ88" s="1097"/>
      <c r="AR88" s="1097"/>
      <c r="AS88" s="1097"/>
      <c r="AT88" s="1097"/>
      <c r="AU88" s="1097"/>
      <c r="AV88" s="1097"/>
      <c r="AW88" s="1097"/>
      <c r="AX88" s="1097"/>
      <c r="AY88" s="1097"/>
      <c r="AZ88" s="1097"/>
      <c r="BA88" s="1097"/>
      <c r="BB88" s="1097"/>
      <c r="BC88" s="1097"/>
      <c r="BD88" s="1097"/>
      <c r="BE88" s="1097"/>
      <c r="BF88" s="1097"/>
      <c r="BG88" s="1097"/>
      <c r="BH88" s="1097"/>
      <c r="BI88" s="1097"/>
      <c r="BJ88" s="1097"/>
      <c r="BK88" s="1097"/>
      <c r="BL88" s="1097"/>
      <c r="BM88" s="1097"/>
      <c r="BN88" s="1097"/>
      <c r="BO88" s="1097"/>
      <c r="BP88" s="1097"/>
      <c r="BQ88" s="1097"/>
      <c r="BR88" s="1097"/>
      <c r="BS88" s="1097"/>
      <c r="BT88" s="1097"/>
      <c r="BU88" s="1097"/>
      <c r="BV88" s="1097"/>
      <c r="BW88" s="1097"/>
      <c r="BX88" s="1097"/>
      <c r="BY88" s="1097"/>
      <c r="BZ88" s="1097"/>
      <c r="CA88" s="1097"/>
      <c r="CB88" s="1097"/>
      <c r="CC88" s="1097"/>
      <c r="CD88" s="1097"/>
      <c r="CE88" s="1097"/>
      <c r="CF88" s="1097"/>
      <c r="CG88" s="1097"/>
      <c r="CH88" s="1097"/>
      <c r="CI88" s="1097"/>
      <c r="CJ88" s="1097"/>
      <c r="CK88" s="1097"/>
      <c r="CL88" s="1097"/>
      <c r="CM88" s="1097"/>
      <c r="CN88" s="1097"/>
      <c r="CO88" s="1097"/>
      <c r="CP88" s="1097"/>
      <c r="CQ88" s="1097"/>
      <c r="CR88" s="1097"/>
      <c r="CS88" s="1097"/>
      <c r="CT88" s="1097"/>
      <c r="CU88" s="1097"/>
      <c r="CV88" s="1097"/>
      <c r="CW88" s="1097"/>
      <c r="CX88" s="1097"/>
      <c r="CY88" s="1097"/>
      <c r="CZ88" s="1097"/>
      <c r="DA88" s="1097"/>
      <c r="DB88" s="1097"/>
      <c r="DC88" s="1097"/>
      <c r="DD88" s="1097"/>
      <c r="DE88" s="1097"/>
      <c r="DF88" s="1097"/>
      <c r="DG88" s="1097"/>
      <c r="DH88" s="1097"/>
      <c r="DI88" s="1097"/>
      <c r="DJ88" s="1097"/>
      <c r="DK88" s="1097"/>
      <c r="DL88" s="1097"/>
      <c r="DM88" s="1097"/>
      <c r="DN88" s="1097"/>
      <c r="DO88" s="1097"/>
      <c r="DP88" s="1097"/>
      <c r="DQ88" s="1097"/>
      <c r="DR88" s="1097"/>
      <c r="DS88" s="1097"/>
      <c r="DT88" s="1097"/>
      <c r="DU88" s="1097"/>
      <c r="DV88" s="1097"/>
      <c r="DW88" s="1097"/>
      <c r="DX88" s="1097"/>
      <c r="DY88" s="1097"/>
      <c r="DZ88" s="1097"/>
      <c r="EA88" s="1097"/>
      <c r="EB88" s="1097"/>
      <c r="EC88" s="1097"/>
      <c r="ED88" s="1097"/>
      <c r="EE88" s="1097"/>
      <c r="EF88" s="1097"/>
      <c r="EG88" s="1097"/>
      <c r="EH88" s="1097"/>
      <c r="EI88" s="1097"/>
      <c r="EJ88" s="1097"/>
      <c r="EK88" s="1097"/>
      <c r="EL88" s="1097"/>
      <c r="EM88" s="1097"/>
      <c r="EN88" s="1097"/>
      <c r="EO88" s="1097"/>
      <c r="EP88" s="1097"/>
      <c r="EQ88" s="1097"/>
      <c r="ER88" s="1097"/>
      <c r="ES88" s="1097"/>
      <c r="ET88" s="1097"/>
      <c r="EU88" s="1097"/>
      <c r="EV88" s="1097"/>
      <c r="EW88" s="1097"/>
      <c r="EX88" s="1097"/>
      <c r="EY88" s="1097"/>
      <c r="EZ88" s="1097"/>
      <c r="FA88" s="1097"/>
      <c r="FB88" s="1097"/>
      <c r="FC88" s="1097"/>
      <c r="FD88" s="1097"/>
      <c r="FE88" s="1097"/>
      <c r="FF88" s="1097"/>
      <c r="FG88" s="1097"/>
      <c r="FH88" s="1097"/>
      <c r="FI88" s="1097"/>
      <c r="FJ88" s="1097"/>
      <c r="FK88" s="1097"/>
      <c r="FL88" s="1097"/>
      <c r="FM88" s="1097"/>
      <c r="FN88" s="1097"/>
      <c r="FO88" s="1097"/>
      <c r="FP88" s="1097"/>
      <c r="FQ88" s="1097"/>
      <c r="FR88" s="1097"/>
      <c r="FS88" s="1097"/>
      <c r="FT88" s="1097"/>
      <c r="FU88" s="1097"/>
      <c r="FV88" s="1097"/>
      <c r="FW88" s="1097"/>
      <c r="FX88" s="1097"/>
      <c r="FY88" s="1097"/>
      <c r="FZ88" s="1097"/>
      <c r="GA88" s="1097"/>
      <c r="GB88" s="1097"/>
      <c r="GC88" s="1097"/>
      <c r="GD88" s="1097"/>
      <c r="GE88" s="1097"/>
      <c r="GF88" s="1097"/>
      <c r="GG88" s="1097"/>
      <c r="GH88" s="1097"/>
      <c r="GI88" s="1097"/>
      <c r="GJ88" s="1097"/>
      <c r="GK88" s="1097"/>
      <c r="GL88" s="1097"/>
      <c r="GM88" s="1097"/>
      <c r="GN88" s="1097"/>
      <c r="GO88" s="1097"/>
      <c r="GP88" s="1097"/>
      <c r="GQ88" s="1097"/>
      <c r="GR88" s="1097"/>
      <c r="GS88" s="1097"/>
      <c r="GT88" s="1097"/>
      <c r="GU88" s="1097"/>
      <c r="GV88" s="1097"/>
      <c r="GW88" s="1097"/>
      <c r="GX88" s="1097"/>
      <c r="GY88" s="1097"/>
      <c r="GZ88" s="1097"/>
      <c r="HA88" s="1097"/>
      <c r="HB88" s="1097"/>
      <c r="HC88" s="1097"/>
      <c r="HD88" s="1097"/>
      <c r="HE88" s="1097"/>
      <c r="HF88" s="1097"/>
      <c r="HG88" s="1097"/>
      <c r="HH88" s="1097"/>
      <c r="HI88" s="1097"/>
      <c r="HJ88" s="1097"/>
      <c r="HK88" s="1097"/>
      <c r="HL88" s="1097"/>
      <c r="HM88" s="1097"/>
      <c r="HN88" s="1097"/>
      <c r="HO88" s="1097"/>
      <c r="HP88" s="1097"/>
      <c r="HQ88" s="1097"/>
      <c r="HR88" s="1097"/>
      <c r="HS88" s="1097"/>
      <c r="HT88" s="1097"/>
      <c r="HU88" s="1097"/>
      <c r="HV88" s="1097"/>
      <c r="HW88" s="1097"/>
      <c r="HX88" s="1097"/>
      <c r="HY88" s="1097"/>
      <c r="HZ88" s="1097"/>
      <c r="IA88" s="1097"/>
      <c r="IB88" s="1097"/>
      <c r="IC88" s="1097"/>
      <c r="ID88" s="1097"/>
      <c r="IE88" s="1097"/>
      <c r="IF88" s="1097"/>
      <c r="IG88" s="1097"/>
      <c r="IH88" s="1097"/>
      <c r="II88" s="1097"/>
      <c r="IJ88" s="1097"/>
      <c r="IK88" s="1097"/>
      <c r="IL88" s="1097"/>
      <c r="IM88" s="1097"/>
      <c r="IN88" s="1097"/>
      <c r="IO88" s="1097"/>
      <c r="IP88" s="1097"/>
      <c r="IQ88" s="1097"/>
      <c r="IR88" s="1097"/>
      <c r="IS88" s="1097"/>
      <c r="IT88" s="1097"/>
      <c r="IU88" s="1097"/>
      <c r="IV88" s="1097"/>
    </row>
    <row r="90" spans="1:256" s="1093" customFormat="1" ht="255" customHeight="1">
      <c r="A90" s="2244" t="s">
        <v>1718</v>
      </c>
      <c r="B90" s="2244"/>
      <c r="C90" s="2244"/>
      <c r="D90" s="2244"/>
      <c r="E90" s="2244"/>
      <c r="F90" s="2244"/>
      <c r="G90" s="2244"/>
      <c r="H90" s="2244"/>
      <c r="I90"/>
      <c r="J90"/>
      <c r="K90"/>
      <c r="L90"/>
      <c r="M90"/>
      <c r="N90"/>
      <c r="O90"/>
      <c r="P90"/>
      <c r="Q90"/>
      <c r="R90"/>
      <c r="S90"/>
      <c r="T90"/>
      <c r="U90"/>
    </row>
  </sheetData>
  <sheetProtection algorithmName="SHA-512" hashValue="fZ7cVmkG4mThZsOvipH07crTsHXbAGr3kMRZJZbEy25xBEmDvTOoPLBVNmO1EtYy9txIN5ylVuaKiahoUUd/sg==" saltValue="2vTmyTB6pIvSrQ66bkm0pA==" spinCount="100000" sheet="1" objects="1" scenarios="1"/>
  <mergeCells count="55">
    <mergeCell ref="A40:H40"/>
    <mergeCell ref="A31:H31"/>
    <mergeCell ref="A32:H32"/>
    <mergeCell ref="A34:H34"/>
    <mergeCell ref="D1:E1"/>
    <mergeCell ref="A4:H4"/>
    <mergeCell ref="A7:H7"/>
    <mergeCell ref="A8:H8"/>
    <mergeCell ref="A14:H14"/>
    <mergeCell ref="A10:H10"/>
    <mergeCell ref="A11:H11"/>
    <mergeCell ref="A13:H13"/>
    <mergeCell ref="A16:H16"/>
    <mergeCell ref="A17:H17"/>
    <mergeCell ref="A36:H36"/>
    <mergeCell ref="A38:H38"/>
    <mergeCell ref="A22:H22"/>
    <mergeCell ref="A23:H23"/>
    <mergeCell ref="A30:H30"/>
    <mergeCell ref="A24:H24"/>
    <mergeCell ref="A26:H26"/>
    <mergeCell ref="A28:H28"/>
    <mergeCell ref="A18:H18"/>
    <mergeCell ref="A20:H20"/>
    <mergeCell ref="B60:E60"/>
    <mergeCell ref="B59:E59"/>
    <mergeCell ref="A56:H56"/>
    <mergeCell ref="A42:H42"/>
    <mergeCell ref="A46:H46"/>
    <mergeCell ref="B58:E58"/>
    <mergeCell ref="A44:H44"/>
    <mergeCell ref="A48:H48"/>
    <mergeCell ref="A50:H50"/>
    <mergeCell ref="A52:H52"/>
    <mergeCell ref="A53:H53"/>
    <mergeCell ref="A54:H54"/>
    <mergeCell ref="A55:H55"/>
    <mergeCell ref="A21:H21"/>
    <mergeCell ref="A71:H71"/>
    <mergeCell ref="A67:H67"/>
    <mergeCell ref="A68:H68"/>
    <mergeCell ref="A69:H69"/>
    <mergeCell ref="B61:E61"/>
    <mergeCell ref="B62:E62"/>
    <mergeCell ref="A65:H65"/>
    <mergeCell ref="A66:H66"/>
    <mergeCell ref="A73:H74"/>
    <mergeCell ref="A75:H78"/>
    <mergeCell ref="A90:H90"/>
    <mergeCell ref="A79:H81"/>
    <mergeCell ref="A82:H82"/>
    <mergeCell ref="A85:H85"/>
    <mergeCell ref="A86:H86"/>
    <mergeCell ref="A87:H87"/>
    <mergeCell ref="A88:H88"/>
  </mergeCells>
  <hyperlinks>
    <hyperlink ref="D1" location="Sommaire!A1" display="Retour Sommaire"/>
  </hyperlinks>
  <printOptions horizontalCentered="1"/>
  <pageMargins left="0.59055118110236227" right="0.59055118110236227" top="0.59055118110236227" bottom="0.59055118110236227" header="0.51181102362204722" footer="0.27559055118110237"/>
  <pageSetup paperSize="9" scale="29" firstPageNumber="0" orientation="portrait" r:id="rId1"/>
  <headerFooter alignWithMargins="0">
    <oddFooter>&amp;LRSU 2020 - Présentation au CTP&amp;R&amp;P/&amp;N
&amp;A</oddFooter>
  </headerFooter>
</worksheet>
</file>

<file path=xl/worksheets/sheet77.xml><?xml version="1.0" encoding="utf-8"?>
<worksheet xmlns="http://schemas.openxmlformats.org/spreadsheetml/2006/main" xmlns:r="http://schemas.openxmlformats.org/officeDocument/2006/relationships">
  <sheetPr codeName="Feuil69">
    <pageSetUpPr fitToPage="1"/>
  </sheetPr>
  <dimension ref="A1:M89"/>
  <sheetViews>
    <sheetView showGridLines="0" workbookViewId="0"/>
  </sheetViews>
  <sheetFormatPr baseColWidth="10" defaultColWidth="10.85546875" defaultRowHeight="12.75" customHeight="1"/>
  <cols>
    <col min="1" max="1" width="46.7109375" customWidth="1"/>
  </cols>
  <sheetData>
    <row r="1" spans="1:11" ht="17.100000000000001" customHeight="1">
      <c r="C1" s="2245" t="s">
        <v>958</v>
      </c>
      <c r="D1" s="2245"/>
    </row>
    <row r="3" spans="1:11" ht="13.5" thickBot="1"/>
    <row r="4" spans="1:11" ht="30" customHeight="1" thickBot="1">
      <c r="A4" s="3028" t="s">
        <v>2434</v>
      </c>
      <c r="B4" s="3028"/>
      <c r="C4" s="3028"/>
      <c r="D4" s="3028"/>
      <c r="E4" s="3028"/>
      <c r="F4" s="3028"/>
      <c r="G4" s="3028"/>
      <c r="H4" s="3028"/>
      <c r="I4" s="3028"/>
      <c r="J4" s="3028"/>
      <c r="K4" s="3028"/>
    </row>
    <row r="6" spans="1:11" ht="25.5" customHeight="1">
      <c r="A6" s="2824" t="s">
        <v>2435</v>
      </c>
      <c r="B6" s="2380"/>
      <c r="C6" s="2380"/>
      <c r="D6" s="2380"/>
      <c r="E6" s="2380"/>
      <c r="F6" s="2380"/>
      <c r="G6" s="2380"/>
      <c r="H6" s="2380"/>
      <c r="I6" s="2380"/>
      <c r="J6" s="2380"/>
      <c r="K6" s="2380"/>
    </row>
    <row r="7" spans="1:11">
      <c r="A7" s="3007" t="s">
        <v>1411</v>
      </c>
      <c r="B7" s="3007"/>
      <c r="C7" s="3007"/>
      <c r="D7" s="3007"/>
      <c r="E7" s="3007"/>
      <c r="F7" s="3007"/>
      <c r="G7" s="3007"/>
      <c r="H7" s="3007"/>
      <c r="I7" s="3007"/>
      <c r="J7" s="3007"/>
      <c r="K7" s="3007"/>
    </row>
    <row r="8" spans="1:11">
      <c r="A8" s="2928" t="s">
        <v>252</v>
      </c>
      <c r="B8" s="2929"/>
      <c r="C8" s="2929"/>
      <c r="D8" s="2929"/>
      <c r="E8" s="2929"/>
      <c r="F8" s="2929"/>
      <c r="G8" s="2929"/>
      <c r="H8" s="2929"/>
      <c r="I8" s="2929"/>
      <c r="J8" s="2929"/>
      <c r="K8" s="245"/>
    </row>
    <row r="9" spans="1:11">
      <c r="B9" s="1211">
        <v>1</v>
      </c>
      <c r="C9" s="1211">
        <v>2</v>
      </c>
      <c r="D9" s="1211">
        <v>1</v>
      </c>
      <c r="E9" s="1211">
        <v>2</v>
      </c>
      <c r="F9" s="1211">
        <v>0</v>
      </c>
      <c r="G9" s="1211" t="s">
        <v>1307</v>
      </c>
    </row>
    <row r="10" spans="1:11" ht="30" customHeight="1">
      <c r="B10" s="3008" t="s">
        <v>431</v>
      </c>
      <c r="C10" s="3009"/>
      <c r="D10" s="2787" t="s">
        <v>1320</v>
      </c>
      <c r="E10" s="2788"/>
      <c r="F10" s="3010" t="s">
        <v>696</v>
      </c>
    </row>
    <row r="11" spans="1:11">
      <c r="B11" s="345" t="s">
        <v>707</v>
      </c>
      <c r="C11" s="345" t="s">
        <v>708</v>
      </c>
      <c r="D11" s="345" t="s">
        <v>707</v>
      </c>
      <c r="E11" s="345" t="s">
        <v>708</v>
      </c>
      <c r="F11" s="3011"/>
      <c r="G11" s="1211" t="s">
        <v>1013</v>
      </c>
    </row>
    <row r="12" spans="1:11">
      <c r="A12" s="346" t="s">
        <v>714</v>
      </c>
      <c r="B12" s="708">
        <v>69</v>
      </c>
      <c r="C12" s="708">
        <v>181</v>
      </c>
      <c r="D12" s="708">
        <v>14</v>
      </c>
      <c r="E12" s="708">
        <v>50</v>
      </c>
      <c r="F12" s="732">
        <f>SUM(B12:E12)</f>
        <v>314</v>
      </c>
      <c r="G12" s="1211">
        <v>1</v>
      </c>
    </row>
    <row r="13" spans="1:11" ht="13.35" customHeight="1">
      <c r="A13" s="346" t="s">
        <v>715</v>
      </c>
      <c r="B13" s="708">
        <v>96</v>
      </c>
      <c r="C13" s="708">
        <v>170</v>
      </c>
      <c r="D13" s="708">
        <v>20</v>
      </c>
      <c r="E13" s="708">
        <v>17</v>
      </c>
      <c r="F13" s="732">
        <f>SUM(B13:E13)</f>
        <v>303</v>
      </c>
      <c r="G13" s="1211">
        <v>2</v>
      </c>
    </row>
    <row r="14" spans="1:11">
      <c r="A14" s="346" t="s">
        <v>670</v>
      </c>
      <c r="B14" s="708">
        <v>362</v>
      </c>
      <c r="C14" s="708">
        <v>1303</v>
      </c>
      <c r="D14" s="708">
        <v>32</v>
      </c>
      <c r="E14" s="708">
        <v>174</v>
      </c>
      <c r="F14" s="732">
        <f>SUM(B14:E14)</f>
        <v>1871</v>
      </c>
      <c r="G14" s="1211">
        <v>3</v>
      </c>
    </row>
    <row r="15" spans="1:11">
      <c r="A15" s="526" t="s">
        <v>768</v>
      </c>
      <c r="B15" s="732">
        <f>SUM(B12:B14)</f>
        <v>527</v>
      </c>
      <c r="C15" s="732">
        <f>SUM(C12:C14)</f>
        <v>1654</v>
      </c>
      <c r="D15" s="732">
        <f>SUM(D12:D14)</f>
        <v>66</v>
      </c>
      <c r="E15" s="732">
        <f>SUM(E12:E14)</f>
        <v>241</v>
      </c>
      <c r="F15" s="732">
        <f>SUM(F12:F14)</f>
        <v>2488</v>
      </c>
      <c r="G15" s="1211">
        <v>0</v>
      </c>
    </row>
    <row r="16" spans="1:11" ht="13.5" thickBot="1">
      <c r="B16" s="1258">
        <v>1</v>
      </c>
      <c r="C16" s="1258">
        <v>1</v>
      </c>
      <c r="D16" s="1258">
        <v>2</v>
      </c>
      <c r="E16" s="1258">
        <v>2</v>
      </c>
      <c r="F16" s="1211">
        <v>0</v>
      </c>
      <c r="G16" s="1211" t="s">
        <v>1512</v>
      </c>
    </row>
    <row r="17" spans="1:13" ht="30.75" customHeight="1" thickBot="1">
      <c r="A17" s="3021" t="s">
        <v>2436</v>
      </c>
      <c r="B17" s="3021"/>
      <c r="C17" s="3021"/>
      <c r="D17" s="3021"/>
      <c r="E17" s="3021"/>
      <c r="F17" s="3021"/>
      <c r="G17" s="3021"/>
      <c r="H17" s="3021"/>
      <c r="I17" s="3021"/>
      <c r="J17" s="3021"/>
      <c r="K17" s="3021"/>
    </row>
    <row r="19" spans="1:13" ht="25.5" customHeight="1">
      <c r="A19" s="3029" t="s">
        <v>2437</v>
      </c>
      <c r="B19" s="2379"/>
      <c r="C19" s="2379"/>
      <c r="D19" s="2379"/>
      <c r="E19" s="2379"/>
      <c r="F19" s="2379"/>
      <c r="G19" s="2379"/>
      <c r="H19" s="2379"/>
      <c r="I19" s="2379"/>
      <c r="J19" s="2379"/>
      <c r="K19" s="2379"/>
    </row>
    <row r="20" spans="1:13" ht="12.75" customHeight="1">
      <c r="A20" s="2928" t="s">
        <v>573</v>
      </c>
      <c r="B20" s="2929"/>
      <c r="C20" s="2929"/>
      <c r="D20" s="2929"/>
      <c r="E20" s="2929"/>
      <c r="F20" s="2929"/>
      <c r="G20" s="2929"/>
      <c r="H20" s="2929"/>
      <c r="I20" s="2929"/>
      <c r="J20" s="2929"/>
    </row>
    <row r="21" spans="1:13" ht="12.75" customHeight="1">
      <c r="A21" s="3026" t="s">
        <v>572</v>
      </c>
      <c r="B21" s="3027"/>
      <c r="C21" s="3027"/>
      <c r="D21" s="3027"/>
      <c r="E21" s="3027"/>
      <c r="F21" s="3027"/>
      <c r="G21" s="3027"/>
      <c r="H21" s="3027"/>
      <c r="I21" s="3027"/>
      <c r="J21" s="3027"/>
      <c r="K21" s="3027"/>
    </row>
    <row r="22" spans="1:13" ht="12.75" customHeight="1">
      <c r="A22" s="3026" t="s">
        <v>574</v>
      </c>
      <c r="B22" s="3027"/>
      <c r="C22" s="3027"/>
      <c r="D22" s="3027"/>
      <c r="E22" s="3027"/>
      <c r="F22" s="3027"/>
      <c r="G22" s="3027"/>
      <c r="H22" s="3027"/>
      <c r="I22" s="3027"/>
      <c r="J22" s="3027"/>
      <c r="K22" s="3027"/>
    </row>
    <row r="24" spans="1:13" ht="69.75" customHeight="1">
      <c r="A24" s="3022" t="s">
        <v>445</v>
      </c>
      <c r="B24" s="3020" t="s">
        <v>2270</v>
      </c>
      <c r="C24" s="3020"/>
      <c r="D24" s="3020"/>
      <c r="E24" s="3020"/>
      <c r="F24" s="3020"/>
      <c r="G24" s="3025"/>
      <c r="H24" s="3017" t="s">
        <v>1944</v>
      </c>
      <c r="I24" s="3018"/>
      <c r="J24" s="3018"/>
      <c r="K24" s="3019"/>
    </row>
    <row r="25" spans="1:13">
      <c r="A25" s="3023"/>
      <c r="B25" s="3012" t="s">
        <v>733</v>
      </c>
      <c r="C25" s="3013"/>
      <c r="D25" s="3020" t="s">
        <v>734</v>
      </c>
      <c r="E25" s="3020" t="s">
        <v>735</v>
      </c>
      <c r="F25" s="3020" t="s">
        <v>768</v>
      </c>
      <c r="G25" s="3020" t="s">
        <v>1436</v>
      </c>
      <c r="H25" s="3006" t="s">
        <v>707</v>
      </c>
      <c r="I25" s="3006" t="s">
        <v>708</v>
      </c>
      <c r="J25" s="3006" t="s">
        <v>768</v>
      </c>
      <c r="K25" s="3006" t="s">
        <v>173</v>
      </c>
    </row>
    <row r="26" spans="1:13" ht="89.25" customHeight="1">
      <c r="A26" s="3023"/>
      <c r="B26" s="246" t="s">
        <v>736</v>
      </c>
      <c r="C26" s="285" t="s">
        <v>737</v>
      </c>
      <c r="D26" s="3020"/>
      <c r="E26" s="3020"/>
      <c r="F26" s="3020"/>
      <c r="G26" s="3020"/>
      <c r="H26" s="3006"/>
      <c r="I26" s="3006"/>
      <c r="J26" s="3006"/>
      <c r="K26" s="3006"/>
    </row>
    <row r="27" spans="1:13">
      <c r="A27" s="3024"/>
      <c r="B27" s="247" t="s">
        <v>1539</v>
      </c>
      <c r="C27" s="248" t="s">
        <v>1540</v>
      </c>
      <c r="D27" s="248" t="s">
        <v>1541</v>
      </c>
      <c r="E27" s="248" t="s">
        <v>1542</v>
      </c>
      <c r="F27" s="248" t="s">
        <v>1543</v>
      </c>
      <c r="G27" s="248" t="s">
        <v>1544</v>
      </c>
      <c r="H27" s="248" t="s">
        <v>1545</v>
      </c>
      <c r="I27" s="248" t="s">
        <v>898</v>
      </c>
      <c r="J27" s="248" t="s">
        <v>899</v>
      </c>
      <c r="K27" s="248" t="s">
        <v>900</v>
      </c>
    </row>
    <row r="28" spans="1:13">
      <c r="A28" s="249" t="s">
        <v>1999</v>
      </c>
      <c r="B28" s="1219">
        <v>10</v>
      </c>
      <c r="C28" s="1219">
        <v>20</v>
      </c>
      <c r="D28" s="1219">
        <v>30</v>
      </c>
      <c r="E28" s="1219">
        <v>40</v>
      </c>
      <c r="F28" s="1219">
        <v>50</v>
      </c>
      <c r="G28" s="1219">
        <v>60</v>
      </c>
      <c r="H28" s="1219">
        <v>1</v>
      </c>
      <c r="I28" s="1219">
        <v>2</v>
      </c>
      <c r="J28" s="1219">
        <v>3</v>
      </c>
      <c r="K28" s="1219">
        <v>4</v>
      </c>
      <c r="L28" s="1211" t="s">
        <v>1209</v>
      </c>
      <c r="M28" s="1211" t="s">
        <v>2000</v>
      </c>
    </row>
    <row r="29" spans="1:13" ht="24">
      <c r="A29" s="250" t="s">
        <v>2001</v>
      </c>
      <c r="B29" s="640">
        <v>6</v>
      </c>
      <c r="C29" s="640">
        <v>0</v>
      </c>
      <c r="D29" s="640">
        <v>0</v>
      </c>
      <c r="E29" s="640">
        <v>0</v>
      </c>
      <c r="F29" s="527">
        <f>SUM(B29:E29)</f>
        <v>6</v>
      </c>
      <c r="G29" s="640">
        <v>0</v>
      </c>
      <c r="H29" s="640">
        <v>0</v>
      </c>
      <c r="I29" s="640">
        <v>1</v>
      </c>
      <c r="J29" s="527">
        <f t="shared" ref="J29:J34" si="0">SUM(H29:I29)</f>
        <v>1</v>
      </c>
      <c r="K29" s="640">
        <v>0</v>
      </c>
      <c r="L29" s="1211">
        <v>1</v>
      </c>
      <c r="M29" s="1211">
        <v>1</v>
      </c>
    </row>
    <row r="30" spans="1:13">
      <c r="A30" s="251" t="s">
        <v>2002</v>
      </c>
      <c r="B30" s="560">
        <f>SUM(B31:B32)</f>
        <v>195</v>
      </c>
      <c r="C30" s="527">
        <f>SUM(C31:C32)</f>
        <v>0</v>
      </c>
      <c r="D30" s="527">
        <f>SUM(D31:D32)</f>
        <v>26</v>
      </c>
      <c r="E30" s="527">
        <f>SUM(E31:E32)</f>
        <v>0</v>
      </c>
      <c r="F30" s="527">
        <f t="shared" ref="F30:F35" si="1">SUM(B30:E30)</f>
        <v>221</v>
      </c>
      <c r="G30" s="252"/>
      <c r="H30" s="527">
        <f>SUM(H31:H32)</f>
        <v>31</v>
      </c>
      <c r="I30" s="527">
        <f>SUM(I31:I32)</f>
        <v>81</v>
      </c>
      <c r="J30" s="527">
        <f t="shared" si="0"/>
        <v>112</v>
      </c>
      <c r="K30" s="252"/>
      <c r="L30" s="1211">
        <v>1</v>
      </c>
      <c r="M30" s="1211">
        <v>2</v>
      </c>
    </row>
    <row r="31" spans="1:13">
      <c r="A31" s="1067" t="s">
        <v>1219</v>
      </c>
      <c r="B31" s="641">
        <v>70</v>
      </c>
      <c r="C31" s="641">
        <v>0</v>
      </c>
      <c r="D31" s="641">
        <v>0</v>
      </c>
      <c r="E31" s="641">
        <v>0</v>
      </c>
      <c r="F31" s="527">
        <f t="shared" si="1"/>
        <v>70</v>
      </c>
      <c r="G31" s="252"/>
      <c r="H31" s="641">
        <v>3</v>
      </c>
      <c r="I31" s="641">
        <v>6</v>
      </c>
      <c r="J31" s="527">
        <f t="shared" si="0"/>
        <v>9</v>
      </c>
      <c r="K31" s="252"/>
      <c r="L31" s="1211">
        <v>1</v>
      </c>
      <c r="M31" s="1211">
        <v>3</v>
      </c>
    </row>
    <row r="32" spans="1:13">
      <c r="A32" s="1066" t="s">
        <v>1220</v>
      </c>
      <c r="B32" s="641">
        <v>125</v>
      </c>
      <c r="C32" s="641">
        <v>0</v>
      </c>
      <c r="D32" s="641">
        <v>26</v>
      </c>
      <c r="E32" s="641">
        <v>0</v>
      </c>
      <c r="F32" s="527">
        <f t="shared" si="1"/>
        <v>151</v>
      </c>
      <c r="G32" s="252"/>
      <c r="H32" s="641">
        <v>28</v>
      </c>
      <c r="I32" s="641">
        <v>75</v>
      </c>
      <c r="J32" s="527">
        <f t="shared" si="0"/>
        <v>103</v>
      </c>
      <c r="K32" s="252"/>
      <c r="L32" s="1211">
        <v>1</v>
      </c>
      <c r="M32" s="1211">
        <v>4</v>
      </c>
    </row>
    <row r="33" spans="1:13">
      <c r="A33" s="253" t="s">
        <v>1505</v>
      </c>
      <c r="B33" s="640">
        <v>32</v>
      </c>
      <c r="C33" s="640">
        <v>0</v>
      </c>
      <c r="D33" s="640">
        <v>68</v>
      </c>
      <c r="E33" s="640">
        <v>52</v>
      </c>
      <c r="F33" s="527">
        <f t="shared" si="1"/>
        <v>152</v>
      </c>
      <c r="G33" s="640">
        <v>0</v>
      </c>
      <c r="H33" s="640">
        <v>38</v>
      </c>
      <c r="I33" s="640">
        <v>99</v>
      </c>
      <c r="J33" s="527">
        <f t="shared" si="0"/>
        <v>137</v>
      </c>
      <c r="K33" s="640">
        <v>0</v>
      </c>
      <c r="L33" s="1211">
        <v>1</v>
      </c>
      <c r="M33" s="1211">
        <v>5</v>
      </c>
    </row>
    <row r="34" spans="1:13">
      <c r="A34" s="253" t="s">
        <v>1506</v>
      </c>
      <c r="B34" s="642"/>
      <c r="C34" s="640"/>
      <c r="D34" s="640"/>
      <c r="E34" s="640"/>
      <c r="F34" s="527">
        <f t="shared" si="1"/>
        <v>0</v>
      </c>
      <c r="G34" s="252"/>
      <c r="H34" s="640"/>
      <c r="I34" s="640"/>
      <c r="J34" s="527">
        <f t="shared" si="0"/>
        <v>0</v>
      </c>
      <c r="K34" s="252"/>
      <c r="L34" s="1211">
        <v>1</v>
      </c>
      <c r="M34" s="1211">
        <v>6</v>
      </c>
    </row>
    <row r="35" spans="1:13">
      <c r="A35" s="528" t="s">
        <v>768</v>
      </c>
      <c r="B35" s="527">
        <f>B29+B30+B33+B34</f>
        <v>233</v>
      </c>
      <c r="C35" s="527">
        <f>C29+C30+C33+C34</f>
        <v>0</v>
      </c>
      <c r="D35" s="527">
        <f>D29+D30+D33+D34</f>
        <v>94</v>
      </c>
      <c r="E35" s="527">
        <f>E29+E30+E33+E34</f>
        <v>52</v>
      </c>
      <c r="F35" s="527">
        <f t="shared" si="1"/>
        <v>379</v>
      </c>
      <c r="G35" s="527">
        <f>G29+G33</f>
        <v>0</v>
      </c>
      <c r="L35" s="1211">
        <v>1</v>
      </c>
      <c r="M35" s="1211">
        <v>0</v>
      </c>
    </row>
    <row r="36" spans="1:13">
      <c r="A36" s="254" t="s">
        <v>1507</v>
      </c>
    </row>
    <row r="37" spans="1:13" ht="24">
      <c r="A37" s="253" t="s">
        <v>2001</v>
      </c>
      <c r="B37" s="640">
        <v>7</v>
      </c>
      <c r="C37" s="640">
        <v>0</v>
      </c>
      <c r="D37" s="640">
        <v>13</v>
      </c>
      <c r="E37" s="640">
        <v>0</v>
      </c>
      <c r="F37" s="527">
        <f>SUM(B37:E37)</f>
        <v>20</v>
      </c>
      <c r="G37" s="640">
        <v>0</v>
      </c>
      <c r="H37" s="640">
        <v>3</v>
      </c>
      <c r="I37" s="640">
        <v>17</v>
      </c>
      <c r="J37" s="527">
        <f t="shared" ref="J37:J42" si="2">SUM(H37:I37)</f>
        <v>20</v>
      </c>
      <c r="K37" s="640">
        <v>0</v>
      </c>
      <c r="L37" s="1211">
        <v>2</v>
      </c>
      <c r="M37" s="1211">
        <v>1</v>
      </c>
    </row>
    <row r="38" spans="1:13">
      <c r="A38" s="253" t="s">
        <v>2002</v>
      </c>
      <c r="B38" s="560">
        <f>SUM(B39:B40)</f>
        <v>91</v>
      </c>
      <c r="C38" s="527">
        <f>SUM(C39:C40)</f>
        <v>0</v>
      </c>
      <c r="D38" s="527">
        <f>SUM(D39:D40)</f>
        <v>25</v>
      </c>
      <c r="E38" s="527">
        <f>SUM(E39:E40)</f>
        <v>52</v>
      </c>
      <c r="F38" s="527">
        <f t="shared" ref="F38:F43" si="3">SUM(B38:E38)</f>
        <v>168</v>
      </c>
      <c r="G38" s="252"/>
      <c r="H38" s="527">
        <f>SUM(H39:H40)</f>
        <v>35</v>
      </c>
      <c r="I38" s="527">
        <f>SUM(I39:I40)</f>
        <v>53</v>
      </c>
      <c r="J38" s="527">
        <f t="shared" si="2"/>
        <v>88</v>
      </c>
      <c r="K38" s="252"/>
      <c r="L38" s="1211">
        <v>2</v>
      </c>
      <c r="M38" s="1211">
        <v>2</v>
      </c>
    </row>
    <row r="39" spans="1:13">
      <c r="A39" s="1065" t="s">
        <v>1219</v>
      </c>
      <c r="B39" s="641">
        <v>35</v>
      </c>
      <c r="C39" s="641">
        <v>0</v>
      </c>
      <c r="D39" s="641">
        <v>0</v>
      </c>
      <c r="E39" s="641">
        <v>0</v>
      </c>
      <c r="F39" s="527">
        <f t="shared" si="3"/>
        <v>35</v>
      </c>
      <c r="G39" s="252"/>
      <c r="H39" s="641">
        <v>1</v>
      </c>
      <c r="I39" s="641">
        <v>3</v>
      </c>
      <c r="J39" s="527">
        <f t="shared" si="2"/>
        <v>4</v>
      </c>
      <c r="K39" s="252"/>
      <c r="L39" s="1211">
        <v>2</v>
      </c>
      <c r="M39" s="1211">
        <v>3</v>
      </c>
    </row>
    <row r="40" spans="1:13">
      <c r="A40" s="1065" t="s">
        <v>1220</v>
      </c>
      <c r="B40" s="641">
        <v>56</v>
      </c>
      <c r="C40" s="641">
        <v>0</v>
      </c>
      <c r="D40" s="641">
        <v>25</v>
      </c>
      <c r="E40" s="641">
        <v>52</v>
      </c>
      <c r="F40" s="527">
        <f t="shared" si="3"/>
        <v>133</v>
      </c>
      <c r="G40" s="252"/>
      <c r="H40" s="641">
        <v>34</v>
      </c>
      <c r="I40" s="641">
        <v>50</v>
      </c>
      <c r="J40" s="527">
        <f t="shared" si="2"/>
        <v>84</v>
      </c>
      <c r="K40" s="252"/>
      <c r="L40" s="1211">
        <v>2</v>
      </c>
      <c r="M40" s="1211">
        <v>4</v>
      </c>
    </row>
    <row r="41" spans="1:13">
      <c r="A41" s="253" t="s">
        <v>1505</v>
      </c>
      <c r="B41" s="640">
        <v>55</v>
      </c>
      <c r="C41" s="640">
        <v>33</v>
      </c>
      <c r="D41" s="640">
        <v>85</v>
      </c>
      <c r="E41" s="640">
        <v>34</v>
      </c>
      <c r="F41" s="527">
        <f t="shared" si="3"/>
        <v>207</v>
      </c>
      <c r="G41" s="640">
        <v>2</v>
      </c>
      <c r="H41" s="640">
        <v>58</v>
      </c>
      <c r="I41" s="640">
        <v>100</v>
      </c>
      <c r="J41" s="527">
        <f t="shared" si="2"/>
        <v>158</v>
      </c>
      <c r="K41" s="640">
        <v>2</v>
      </c>
      <c r="L41" s="1211">
        <v>2</v>
      </c>
      <c r="M41" s="1211">
        <v>5</v>
      </c>
    </row>
    <row r="42" spans="1:13">
      <c r="A42" s="253" t="s">
        <v>1506</v>
      </c>
      <c r="B42" s="642"/>
      <c r="C42" s="640"/>
      <c r="D42" s="640"/>
      <c r="E42" s="640"/>
      <c r="F42" s="527">
        <f t="shared" si="3"/>
        <v>0</v>
      </c>
      <c r="G42" s="252"/>
      <c r="H42" s="640"/>
      <c r="I42" s="640"/>
      <c r="J42" s="527">
        <f t="shared" si="2"/>
        <v>0</v>
      </c>
      <c r="K42" s="252"/>
      <c r="L42" s="1211">
        <v>2</v>
      </c>
      <c r="M42" s="1211">
        <v>6</v>
      </c>
    </row>
    <row r="43" spans="1:13">
      <c r="A43" s="528" t="s">
        <v>768</v>
      </c>
      <c r="B43" s="527">
        <f>B37+B38+B41+B42</f>
        <v>153</v>
      </c>
      <c r="C43" s="527">
        <f>C37+C38+C41+C42</f>
        <v>33</v>
      </c>
      <c r="D43" s="527">
        <f>D37+D38+D41+D42</f>
        <v>123</v>
      </c>
      <c r="E43" s="527">
        <f>E37+E38+E41+E42</f>
        <v>86</v>
      </c>
      <c r="F43" s="527">
        <f t="shared" si="3"/>
        <v>395</v>
      </c>
      <c r="G43" s="527">
        <f>G37+G41</f>
        <v>2</v>
      </c>
      <c r="L43" s="1211">
        <v>2</v>
      </c>
      <c r="M43" s="1211">
        <v>0</v>
      </c>
    </row>
    <row r="44" spans="1:13">
      <c r="A44" s="254" t="s">
        <v>1468</v>
      </c>
    </row>
    <row r="45" spans="1:13" ht="24">
      <c r="A45" s="253" t="s">
        <v>2001</v>
      </c>
      <c r="B45" s="640">
        <v>64</v>
      </c>
      <c r="C45" s="640">
        <v>0</v>
      </c>
      <c r="D45" s="640">
        <v>15</v>
      </c>
      <c r="E45" s="640">
        <v>0</v>
      </c>
      <c r="F45" s="527">
        <f>SUM(B45:E45)</f>
        <v>79</v>
      </c>
      <c r="G45" s="640">
        <v>0</v>
      </c>
      <c r="H45" s="640">
        <v>16</v>
      </c>
      <c r="I45" s="640">
        <v>51</v>
      </c>
      <c r="J45" s="527">
        <f t="shared" ref="J45:J50" si="4">SUM(H45:I45)</f>
        <v>67</v>
      </c>
      <c r="K45" s="640">
        <v>0</v>
      </c>
      <c r="L45" s="1211">
        <v>3</v>
      </c>
      <c r="M45" s="1211">
        <v>1</v>
      </c>
    </row>
    <row r="46" spans="1:13">
      <c r="A46" s="253" t="s">
        <v>2002</v>
      </c>
      <c r="B46" s="560">
        <f>SUM(B47:B48)</f>
        <v>711</v>
      </c>
      <c r="C46" s="527">
        <f>SUM(C47:C48)</f>
        <v>0</v>
      </c>
      <c r="D46" s="527">
        <f>SUM(D47:D48)</f>
        <v>285</v>
      </c>
      <c r="E46" s="527">
        <f>SUM(E47:E48)</f>
        <v>100</v>
      </c>
      <c r="F46" s="527">
        <f t="shared" ref="F46:F51" si="5">SUM(B46:E46)</f>
        <v>1096</v>
      </c>
      <c r="G46" s="252"/>
      <c r="H46" s="527">
        <f>SUM(H47:H48)</f>
        <v>166</v>
      </c>
      <c r="I46" s="527">
        <f>SUM(I47:I48)</f>
        <v>505</v>
      </c>
      <c r="J46" s="527">
        <f t="shared" si="4"/>
        <v>671</v>
      </c>
      <c r="K46" s="252"/>
      <c r="L46" s="1211">
        <v>3</v>
      </c>
      <c r="M46" s="1211">
        <v>2</v>
      </c>
    </row>
    <row r="47" spans="1:13">
      <c r="A47" s="1066" t="s">
        <v>1219</v>
      </c>
      <c r="B47" s="641">
        <v>381</v>
      </c>
      <c r="C47" s="641">
        <v>0</v>
      </c>
      <c r="D47" s="641">
        <v>0</v>
      </c>
      <c r="E47" s="641">
        <v>0</v>
      </c>
      <c r="F47" s="527">
        <f t="shared" si="5"/>
        <v>381</v>
      </c>
      <c r="G47" s="252"/>
      <c r="H47" s="641">
        <v>26</v>
      </c>
      <c r="I47" s="641">
        <v>52</v>
      </c>
      <c r="J47" s="527">
        <f t="shared" si="4"/>
        <v>78</v>
      </c>
      <c r="K47" s="252"/>
      <c r="L47" s="1211">
        <v>3</v>
      </c>
      <c r="M47" s="1211">
        <v>3</v>
      </c>
    </row>
    <row r="48" spans="1:13">
      <c r="A48" s="1066" t="s">
        <v>1220</v>
      </c>
      <c r="B48" s="641">
        <v>330</v>
      </c>
      <c r="C48" s="641">
        <v>0</v>
      </c>
      <c r="D48" s="641">
        <v>285</v>
      </c>
      <c r="E48" s="641">
        <v>100</v>
      </c>
      <c r="F48" s="527">
        <f t="shared" si="5"/>
        <v>715</v>
      </c>
      <c r="G48" s="252"/>
      <c r="H48" s="641">
        <v>140</v>
      </c>
      <c r="I48" s="641">
        <v>453</v>
      </c>
      <c r="J48" s="527">
        <f t="shared" si="4"/>
        <v>593</v>
      </c>
      <c r="K48" s="252"/>
      <c r="L48" s="1211">
        <v>3</v>
      </c>
      <c r="M48" s="1211">
        <v>4</v>
      </c>
    </row>
    <row r="49" spans="1:13">
      <c r="A49" s="253" t="s">
        <v>1505</v>
      </c>
      <c r="B49" s="640">
        <v>163</v>
      </c>
      <c r="C49" s="640">
        <v>262</v>
      </c>
      <c r="D49" s="640">
        <v>451</v>
      </c>
      <c r="E49" s="640">
        <v>575</v>
      </c>
      <c r="F49" s="527">
        <f t="shared" si="5"/>
        <v>1451</v>
      </c>
      <c r="G49" s="640">
        <v>55</v>
      </c>
      <c r="H49" s="640">
        <v>180</v>
      </c>
      <c r="I49" s="640">
        <v>862</v>
      </c>
      <c r="J49" s="527">
        <f t="shared" si="4"/>
        <v>1042</v>
      </c>
      <c r="K49" s="640">
        <v>48</v>
      </c>
      <c r="L49" s="1211">
        <v>3</v>
      </c>
      <c r="M49" s="1211">
        <v>5</v>
      </c>
    </row>
    <row r="50" spans="1:13">
      <c r="A50" s="253" t="s">
        <v>1506</v>
      </c>
      <c r="B50" s="642">
        <v>0</v>
      </c>
      <c r="C50" s="640">
        <v>0</v>
      </c>
      <c r="D50" s="640">
        <v>5</v>
      </c>
      <c r="E50" s="640">
        <v>0</v>
      </c>
      <c r="F50" s="527">
        <f t="shared" si="5"/>
        <v>5</v>
      </c>
      <c r="G50" s="252"/>
      <c r="H50" s="640">
        <v>0</v>
      </c>
      <c r="I50" s="640">
        <v>1</v>
      </c>
      <c r="J50" s="527">
        <f t="shared" si="4"/>
        <v>1</v>
      </c>
      <c r="K50" s="252"/>
      <c r="L50" s="1211">
        <v>3</v>
      </c>
      <c r="M50" s="1211">
        <v>6</v>
      </c>
    </row>
    <row r="51" spans="1:13">
      <c r="A51" s="528" t="s">
        <v>768</v>
      </c>
      <c r="B51" s="527">
        <f>B45+B46+B49+B50</f>
        <v>938</v>
      </c>
      <c r="C51" s="527">
        <f>C45+C46+C49+C50</f>
        <v>262</v>
      </c>
      <c r="D51" s="527">
        <f>D45+D46+D49+D50</f>
        <v>756</v>
      </c>
      <c r="E51" s="527">
        <f>E45+E46+E49+E50</f>
        <v>675</v>
      </c>
      <c r="F51" s="527">
        <f t="shared" si="5"/>
        <v>2631</v>
      </c>
      <c r="G51" s="527">
        <f>G45+G49</f>
        <v>55</v>
      </c>
      <c r="L51" s="1211">
        <v>3</v>
      </c>
      <c r="M51" s="1211">
        <v>0</v>
      </c>
    </row>
    <row r="53" spans="1:13" ht="24">
      <c r="A53" s="255" t="s">
        <v>1508</v>
      </c>
      <c r="B53" s="640"/>
      <c r="C53" s="640"/>
      <c r="D53" s="640"/>
      <c r="E53" s="640"/>
      <c r="F53" s="527">
        <f>SUM(B53:E53)</f>
        <v>0</v>
      </c>
      <c r="G53" s="640"/>
      <c r="H53" s="640"/>
      <c r="I53" s="640"/>
      <c r="J53" s="527">
        <f>SUM(H53:I53)</f>
        <v>0</v>
      </c>
      <c r="K53" s="640"/>
      <c r="L53" s="1211">
        <v>9</v>
      </c>
      <c r="M53" s="1211">
        <v>9</v>
      </c>
    </row>
    <row r="55" spans="1:13">
      <c r="A55" s="529" t="s">
        <v>1509</v>
      </c>
      <c r="B55" s="527">
        <f>B53+B51+B43+B35</f>
        <v>1324</v>
      </c>
      <c r="C55" s="527">
        <f>C53+C51+C43+C35</f>
        <v>295</v>
      </c>
      <c r="D55" s="527">
        <f>D53+D51+D43+D35</f>
        <v>973</v>
      </c>
      <c r="E55" s="527">
        <f>E53+E51+E43+E35</f>
        <v>813</v>
      </c>
      <c r="F55" s="527">
        <f>F35+F43+F51+F53</f>
        <v>3405</v>
      </c>
      <c r="G55" s="527">
        <f>G35+G43+G51+G53</f>
        <v>57</v>
      </c>
      <c r="L55" s="1189">
        <v>0</v>
      </c>
      <c r="M55" s="1211">
        <v>0</v>
      </c>
    </row>
    <row r="58" spans="1:13" ht="60.75" customHeight="1">
      <c r="A58" s="3003" t="s">
        <v>1136</v>
      </c>
      <c r="B58" s="3014" t="s">
        <v>2270</v>
      </c>
      <c r="C58" s="3015"/>
      <c r="D58" s="3015"/>
      <c r="E58" s="3015"/>
      <c r="F58" s="3016"/>
      <c r="H58" s="3017" t="s">
        <v>2179</v>
      </c>
      <c r="I58" s="3018"/>
      <c r="J58" s="3018"/>
      <c r="K58" s="3019"/>
    </row>
    <row r="59" spans="1:13">
      <c r="A59" s="3004"/>
      <c r="B59" s="3012" t="s">
        <v>733</v>
      </c>
      <c r="C59" s="3013"/>
      <c r="D59" s="3020" t="s">
        <v>734</v>
      </c>
      <c r="E59" s="3020" t="s">
        <v>735</v>
      </c>
      <c r="F59" s="3020" t="s">
        <v>768</v>
      </c>
      <c r="G59" s="3020" t="s">
        <v>1436</v>
      </c>
      <c r="H59" s="3006" t="s">
        <v>707</v>
      </c>
      <c r="I59" s="3006" t="s">
        <v>708</v>
      </c>
      <c r="J59" s="3006" t="s">
        <v>768</v>
      </c>
      <c r="K59" s="3006" t="s">
        <v>173</v>
      </c>
    </row>
    <row r="60" spans="1:13" ht="48">
      <c r="A60" s="3004"/>
      <c r="B60" s="285" t="s">
        <v>736</v>
      </c>
      <c r="C60" s="285" t="s">
        <v>737</v>
      </c>
      <c r="D60" s="3020"/>
      <c r="E60" s="3020"/>
      <c r="F60" s="3020"/>
      <c r="G60" s="3020"/>
      <c r="H60" s="3006"/>
      <c r="I60" s="3006"/>
      <c r="J60" s="3006"/>
      <c r="K60" s="3006"/>
    </row>
    <row r="61" spans="1:13">
      <c r="A61" s="3005"/>
      <c r="B61" s="256" t="s">
        <v>1539</v>
      </c>
      <c r="C61" s="248" t="s">
        <v>1540</v>
      </c>
      <c r="D61" s="248" t="s">
        <v>1541</v>
      </c>
      <c r="E61" s="248" t="s">
        <v>1542</v>
      </c>
      <c r="F61" s="248" t="s">
        <v>1543</v>
      </c>
      <c r="G61" s="248" t="s">
        <v>1544</v>
      </c>
      <c r="H61" s="248" t="s">
        <v>1545</v>
      </c>
      <c r="I61" s="248" t="s">
        <v>898</v>
      </c>
      <c r="J61" s="248" t="s">
        <v>899</v>
      </c>
      <c r="K61" s="248" t="s">
        <v>900</v>
      </c>
    </row>
    <row r="62" spans="1:13">
      <c r="A62" s="254" t="s">
        <v>1999</v>
      </c>
      <c r="B62" s="1219">
        <v>10</v>
      </c>
      <c r="C62" s="1219">
        <v>20</v>
      </c>
      <c r="D62" s="1219">
        <v>30</v>
      </c>
      <c r="E62" s="1219">
        <v>40</v>
      </c>
      <c r="F62" s="1219">
        <v>50</v>
      </c>
      <c r="G62" s="1219">
        <v>60</v>
      </c>
      <c r="H62" s="1219">
        <v>1</v>
      </c>
      <c r="I62" s="1219">
        <v>2</v>
      </c>
      <c r="J62" s="1219">
        <v>3</v>
      </c>
      <c r="K62" s="1219">
        <v>4</v>
      </c>
      <c r="L62" s="1211" t="s">
        <v>1209</v>
      </c>
      <c r="M62" s="1211" t="s">
        <v>2000</v>
      </c>
    </row>
    <row r="63" spans="1:13" ht="24">
      <c r="A63" s="250" t="s">
        <v>2001</v>
      </c>
      <c r="B63" s="640"/>
      <c r="C63" s="640"/>
      <c r="D63" s="640"/>
      <c r="E63" s="640"/>
      <c r="F63" s="527">
        <f>SUM(B63:E63)</f>
        <v>0</v>
      </c>
      <c r="G63" s="640"/>
      <c r="H63" s="640"/>
      <c r="I63" s="640"/>
      <c r="J63" s="527">
        <f t="shared" ref="J63:J68" si="6">SUM(H63:I63)</f>
        <v>0</v>
      </c>
      <c r="K63" s="640"/>
      <c r="L63" s="1211">
        <v>1</v>
      </c>
      <c r="M63" s="1211">
        <v>1</v>
      </c>
    </row>
    <row r="64" spans="1:13">
      <c r="A64" s="251" t="s">
        <v>2002</v>
      </c>
      <c r="B64" s="560">
        <f>SUM(B65:B66)</f>
        <v>0</v>
      </c>
      <c r="C64" s="527">
        <f>SUM(C65:C66)</f>
        <v>0</v>
      </c>
      <c r="D64" s="527">
        <f>SUM(D65:D66)</f>
        <v>0</v>
      </c>
      <c r="E64" s="527">
        <f>SUM(E65:E66)</f>
        <v>0</v>
      </c>
      <c r="F64" s="527">
        <f t="shared" ref="F64:F69" si="7">SUM(B64:E64)</f>
        <v>0</v>
      </c>
      <c r="G64" s="252"/>
      <c r="H64" s="527">
        <f>SUM(H65:H66)</f>
        <v>0</v>
      </c>
      <c r="I64" s="527">
        <f>SUM(I65:I66)</f>
        <v>0</v>
      </c>
      <c r="J64" s="527">
        <f t="shared" si="6"/>
        <v>0</v>
      </c>
      <c r="K64" s="252"/>
      <c r="L64" s="1211">
        <v>1</v>
      </c>
      <c r="M64" s="1211">
        <v>2</v>
      </c>
    </row>
    <row r="65" spans="1:13">
      <c r="A65" s="1067" t="s">
        <v>1219</v>
      </c>
      <c r="B65" s="641"/>
      <c r="C65" s="641"/>
      <c r="D65" s="641"/>
      <c r="E65" s="641"/>
      <c r="F65" s="527">
        <f t="shared" si="7"/>
        <v>0</v>
      </c>
      <c r="G65" s="252"/>
      <c r="H65" s="641"/>
      <c r="I65" s="641"/>
      <c r="J65" s="527">
        <f t="shared" si="6"/>
        <v>0</v>
      </c>
      <c r="K65" s="252"/>
      <c r="L65" s="1211">
        <v>1</v>
      </c>
      <c r="M65" s="1211">
        <v>3</v>
      </c>
    </row>
    <row r="66" spans="1:13">
      <c r="A66" s="1066" t="s">
        <v>1220</v>
      </c>
      <c r="B66" s="641"/>
      <c r="C66" s="641"/>
      <c r="D66" s="641"/>
      <c r="E66" s="641"/>
      <c r="F66" s="527">
        <f t="shared" si="7"/>
        <v>0</v>
      </c>
      <c r="G66" s="252"/>
      <c r="H66" s="641"/>
      <c r="I66" s="641"/>
      <c r="J66" s="527">
        <f t="shared" si="6"/>
        <v>0</v>
      </c>
      <c r="K66" s="252"/>
      <c r="L66" s="1211">
        <v>1</v>
      </c>
      <c r="M66" s="1211">
        <v>4</v>
      </c>
    </row>
    <row r="67" spans="1:13">
      <c r="A67" s="253" t="s">
        <v>1505</v>
      </c>
      <c r="B67" s="640">
        <v>28</v>
      </c>
      <c r="C67" s="640">
        <v>0</v>
      </c>
      <c r="D67" s="640">
        <v>35</v>
      </c>
      <c r="E67" s="640">
        <v>20</v>
      </c>
      <c r="F67" s="527">
        <f t="shared" si="7"/>
        <v>83</v>
      </c>
      <c r="G67" s="640">
        <v>9</v>
      </c>
      <c r="H67" s="640">
        <v>14</v>
      </c>
      <c r="I67" s="640">
        <v>50</v>
      </c>
      <c r="J67" s="527">
        <f t="shared" si="6"/>
        <v>64</v>
      </c>
      <c r="K67" s="640">
        <v>1</v>
      </c>
      <c r="L67" s="1211">
        <v>1</v>
      </c>
      <c r="M67" s="1211">
        <v>5</v>
      </c>
    </row>
    <row r="68" spans="1:13">
      <c r="A68" s="253" t="s">
        <v>1506</v>
      </c>
      <c r="B68" s="642"/>
      <c r="C68" s="640"/>
      <c r="D68" s="640"/>
      <c r="E68" s="640"/>
      <c r="F68" s="527">
        <f t="shared" si="7"/>
        <v>0</v>
      </c>
      <c r="G68" s="252"/>
      <c r="H68" s="640"/>
      <c r="I68" s="640"/>
      <c r="J68" s="527">
        <f t="shared" si="6"/>
        <v>0</v>
      </c>
      <c r="K68" s="252"/>
      <c r="L68" s="1211">
        <v>1</v>
      </c>
      <c r="M68" s="1211">
        <v>6</v>
      </c>
    </row>
    <row r="69" spans="1:13">
      <c r="A69" s="528" t="s">
        <v>768</v>
      </c>
      <c r="B69" s="527">
        <f>B63+B64+B67+B68</f>
        <v>28</v>
      </c>
      <c r="C69" s="527">
        <f>C63+C64+C67+C68</f>
        <v>0</v>
      </c>
      <c r="D69" s="527">
        <f>D63+D64+D67+D68</f>
        <v>35</v>
      </c>
      <c r="E69" s="527">
        <f>E63+E64+E67+E68</f>
        <v>20</v>
      </c>
      <c r="F69" s="527">
        <f t="shared" si="7"/>
        <v>83</v>
      </c>
      <c r="G69" s="527">
        <f>G63+G67</f>
        <v>9</v>
      </c>
      <c r="L69" s="1211">
        <v>1</v>
      </c>
      <c r="M69" s="1211">
        <v>0</v>
      </c>
    </row>
    <row r="70" spans="1:13">
      <c r="A70" s="254" t="s">
        <v>1507</v>
      </c>
    </row>
    <row r="71" spans="1:13" ht="24">
      <c r="A71" s="253" t="s">
        <v>2001</v>
      </c>
      <c r="B71" s="640">
        <v>2</v>
      </c>
      <c r="C71" s="640">
        <v>0</v>
      </c>
      <c r="D71" s="640">
        <v>1</v>
      </c>
      <c r="E71" s="640">
        <v>0</v>
      </c>
      <c r="F71" s="527">
        <f>SUM(B71:E71)</f>
        <v>3</v>
      </c>
      <c r="G71" s="640">
        <v>0</v>
      </c>
      <c r="H71" s="640">
        <v>1</v>
      </c>
      <c r="I71" s="640">
        <v>1</v>
      </c>
      <c r="J71" s="527">
        <f t="shared" ref="J71:J76" si="8">SUM(H71:I71)</f>
        <v>2</v>
      </c>
      <c r="K71" s="640">
        <v>0</v>
      </c>
      <c r="L71" s="1211">
        <v>2</v>
      </c>
      <c r="M71" s="1211">
        <v>1</v>
      </c>
    </row>
    <row r="72" spans="1:13">
      <c r="A72" s="253" t="s">
        <v>2002</v>
      </c>
      <c r="B72" s="560">
        <f>SUM(B73:B74)</f>
        <v>0</v>
      </c>
      <c r="C72" s="527">
        <f>SUM(C73:C74)</f>
        <v>0</v>
      </c>
      <c r="D72" s="527">
        <f>SUM(D73:D74)</f>
        <v>0</v>
      </c>
      <c r="E72" s="527">
        <f>SUM(E73:E74)</f>
        <v>0</v>
      </c>
      <c r="F72" s="527">
        <f t="shared" ref="F72:F77" si="9">SUM(B72:E72)</f>
        <v>0</v>
      </c>
      <c r="G72" s="252"/>
      <c r="H72" s="527">
        <f>SUM(H73:H74)</f>
        <v>0</v>
      </c>
      <c r="I72" s="527">
        <f>SUM(I73:I74)</f>
        <v>0</v>
      </c>
      <c r="J72" s="527">
        <f t="shared" si="8"/>
        <v>0</v>
      </c>
      <c r="K72" s="252"/>
      <c r="L72" s="1211">
        <v>2</v>
      </c>
      <c r="M72" s="1211">
        <v>2</v>
      </c>
    </row>
    <row r="73" spans="1:13">
      <c r="A73" s="1066" t="s">
        <v>1219</v>
      </c>
      <c r="B73" s="641"/>
      <c r="C73" s="641"/>
      <c r="D73" s="641"/>
      <c r="E73" s="641"/>
      <c r="F73" s="527">
        <f t="shared" si="9"/>
        <v>0</v>
      </c>
      <c r="G73" s="252"/>
      <c r="H73" s="641"/>
      <c r="I73" s="641"/>
      <c r="J73" s="527">
        <f t="shared" si="8"/>
        <v>0</v>
      </c>
      <c r="K73" s="252"/>
      <c r="L73" s="1211">
        <v>2</v>
      </c>
      <c r="M73" s="1211">
        <v>3</v>
      </c>
    </row>
    <row r="74" spans="1:13">
      <c r="A74" s="1066" t="s">
        <v>1220</v>
      </c>
      <c r="B74" s="641"/>
      <c r="C74" s="641"/>
      <c r="D74" s="641"/>
      <c r="E74" s="641"/>
      <c r="F74" s="527">
        <f t="shared" si="9"/>
        <v>0</v>
      </c>
      <c r="G74" s="252"/>
      <c r="H74" s="641"/>
      <c r="I74" s="641"/>
      <c r="J74" s="527">
        <f t="shared" si="8"/>
        <v>0</v>
      </c>
      <c r="K74" s="252"/>
      <c r="L74" s="1211">
        <v>2</v>
      </c>
      <c r="M74" s="1211">
        <v>4</v>
      </c>
    </row>
    <row r="75" spans="1:13">
      <c r="A75" s="253" t="s">
        <v>1505</v>
      </c>
      <c r="B75" s="640">
        <v>19</v>
      </c>
      <c r="C75" s="640">
        <v>0</v>
      </c>
      <c r="D75" s="640">
        <v>21</v>
      </c>
      <c r="E75" s="640">
        <v>18</v>
      </c>
      <c r="F75" s="527">
        <f t="shared" si="9"/>
        <v>58</v>
      </c>
      <c r="G75" s="640">
        <v>0</v>
      </c>
      <c r="H75" s="640">
        <v>19</v>
      </c>
      <c r="I75" s="640">
        <v>16</v>
      </c>
      <c r="J75" s="527">
        <f t="shared" si="8"/>
        <v>35</v>
      </c>
      <c r="K75" s="640">
        <v>0</v>
      </c>
      <c r="L75" s="1211">
        <v>2</v>
      </c>
      <c r="M75" s="1211">
        <v>5</v>
      </c>
    </row>
    <row r="76" spans="1:13">
      <c r="A76" s="253" t="s">
        <v>1506</v>
      </c>
      <c r="B76" s="642"/>
      <c r="C76" s="640"/>
      <c r="D76" s="640"/>
      <c r="E76" s="640"/>
      <c r="F76" s="527">
        <f t="shared" si="9"/>
        <v>0</v>
      </c>
      <c r="G76" s="252"/>
      <c r="H76" s="640"/>
      <c r="I76" s="640"/>
      <c r="J76" s="527">
        <f t="shared" si="8"/>
        <v>0</v>
      </c>
      <c r="K76" s="252"/>
      <c r="L76" s="1211">
        <v>2</v>
      </c>
      <c r="M76" s="1211">
        <v>6</v>
      </c>
    </row>
    <row r="77" spans="1:13">
      <c r="A77" s="528" t="s">
        <v>768</v>
      </c>
      <c r="B77" s="527">
        <f>B71+B72+B75+B76</f>
        <v>21</v>
      </c>
      <c r="C77" s="527">
        <f>C71+C72+C75+C76</f>
        <v>0</v>
      </c>
      <c r="D77" s="527">
        <f>D71+D72+D75+D76</f>
        <v>22</v>
      </c>
      <c r="E77" s="527">
        <f>E71+E72+E75+E76</f>
        <v>18</v>
      </c>
      <c r="F77" s="527">
        <f t="shared" si="9"/>
        <v>61</v>
      </c>
      <c r="G77" s="527">
        <f>G71+G75</f>
        <v>0</v>
      </c>
      <c r="L77" s="1211">
        <v>2</v>
      </c>
      <c r="M77" s="1211">
        <v>0</v>
      </c>
    </row>
    <row r="78" spans="1:13">
      <c r="A78" s="254" t="s">
        <v>1468</v>
      </c>
    </row>
    <row r="79" spans="1:13" ht="24">
      <c r="A79" s="253" t="s">
        <v>2001</v>
      </c>
      <c r="B79" s="640">
        <v>1</v>
      </c>
      <c r="C79" s="640">
        <v>0</v>
      </c>
      <c r="D79" s="640">
        <v>1</v>
      </c>
      <c r="E79" s="640">
        <v>0</v>
      </c>
      <c r="F79" s="527">
        <f>SUM(B79:E79)</f>
        <v>2</v>
      </c>
      <c r="G79" s="640">
        <v>0</v>
      </c>
      <c r="H79" s="640">
        <v>0</v>
      </c>
      <c r="I79" s="640">
        <v>2</v>
      </c>
      <c r="J79" s="527">
        <f t="shared" ref="J79:J84" si="10">SUM(H79:I79)</f>
        <v>2</v>
      </c>
      <c r="K79" s="640">
        <v>0</v>
      </c>
      <c r="L79" s="1211">
        <v>3</v>
      </c>
      <c r="M79" s="1211">
        <v>1</v>
      </c>
    </row>
    <row r="80" spans="1:13">
      <c r="A80" s="253" t="s">
        <v>2002</v>
      </c>
      <c r="B80" s="560">
        <f>SUM(B81:B82)</f>
        <v>0</v>
      </c>
      <c r="C80" s="527">
        <f>SUM(C81:C82)</f>
        <v>0</v>
      </c>
      <c r="D80" s="527">
        <f>SUM(D81:D82)</f>
        <v>0</v>
      </c>
      <c r="E80" s="527">
        <f>SUM(E81:E82)</f>
        <v>0</v>
      </c>
      <c r="F80" s="527">
        <f t="shared" ref="F80:F85" si="11">SUM(B80:E80)</f>
        <v>0</v>
      </c>
      <c r="G80" s="252"/>
      <c r="H80" s="527">
        <f>SUM(H81:H82)</f>
        <v>0</v>
      </c>
      <c r="I80" s="527">
        <f>SUM(I81:I82)</f>
        <v>0</v>
      </c>
      <c r="J80" s="527">
        <f t="shared" si="10"/>
        <v>0</v>
      </c>
      <c r="K80" s="252"/>
      <c r="L80" s="1211">
        <v>3</v>
      </c>
      <c r="M80" s="1211">
        <v>2</v>
      </c>
    </row>
    <row r="81" spans="1:13">
      <c r="A81" s="1066" t="s">
        <v>1219</v>
      </c>
      <c r="B81" s="641"/>
      <c r="C81" s="641"/>
      <c r="D81" s="641"/>
      <c r="E81" s="641"/>
      <c r="F81" s="527">
        <f t="shared" si="11"/>
        <v>0</v>
      </c>
      <c r="G81" s="252"/>
      <c r="H81" s="641"/>
      <c r="I81" s="641"/>
      <c r="J81" s="527">
        <f t="shared" si="10"/>
        <v>0</v>
      </c>
      <c r="K81" s="252"/>
      <c r="L81" s="1211">
        <v>3</v>
      </c>
      <c r="M81" s="1211">
        <v>3</v>
      </c>
    </row>
    <row r="82" spans="1:13">
      <c r="A82" s="1066" t="s">
        <v>1220</v>
      </c>
      <c r="B82" s="641"/>
      <c r="C82" s="641"/>
      <c r="D82" s="641"/>
      <c r="E82" s="641"/>
      <c r="F82" s="527">
        <f t="shared" si="11"/>
        <v>0</v>
      </c>
      <c r="G82" s="252"/>
      <c r="H82" s="641"/>
      <c r="I82" s="641"/>
      <c r="J82" s="527">
        <f t="shared" si="10"/>
        <v>0</v>
      </c>
      <c r="K82" s="252"/>
      <c r="L82" s="1211">
        <v>3</v>
      </c>
      <c r="M82" s="1211">
        <v>4</v>
      </c>
    </row>
    <row r="83" spans="1:13">
      <c r="A83" s="253" t="s">
        <v>1505</v>
      </c>
      <c r="B83" s="640">
        <v>84</v>
      </c>
      <c r="C83" s="640">
        <v>0</v>
      </c>
      <c r="D83" s="640">
        <v>179</v>
      </c>
      <c r="E83" s="640">
        <v>22</v>
      </c>
      <c r="F83" s="527">
        <f t="shared" si="11"/>
        <v>285</v>
      </c>
      <c r="G83" s="640">
        <v>4</v>
      </c>
      <c r="H83" s="640">
        <v>32</v>
      </c>
      <c r="I83" s="640">
        <v>174</v>
      </c>
      <c r="J83" s="527">
        <f t="shared" si="10"/>
        <v>206</v>
      </c>
      <c r="K83" s="640">
        <v>1</v>
      </c>
      <c r="L83" s="1211">
        <v>3</v>
      </c>
      <c r="M83" s="1211">
        <v>5</v>
      </c>
    </row>
    <row r="84" spans="1:13">
      <c r="A84" s="253" t="s">
        <v>1506</v>
      </c>
      <c r="B84" s="642"/>
      <c r="C84" s="640"/>
      <c r="D84" s="640"/>
      <c r="E84" s="640"/>
      <c r="F84" s="527">
        <f t="shared" si="11"/>
        <v>0</v>
      </c>
      <c r="G84" s="252"/>
      <c r="H84" s="640"/>
      <c r="I84" s="640"/>
      <c r="J84" s="527">
        <f t="shared" si="10"/>
        <v>0</v>
      </c>
      <c r="K84" s="252"/>
      <c r="L84" s="1211">
        <v>3</v>
      </c>
      <c r="M84" s="1211">
        <v>6</v>
      </c>
    </row>
    <row r="85" spans="1:13">
      <c r="A85" s="528" t="s">
        <v>768</v>
      </c>
      <c r="B85" s="527">
        <f>B79+B80+B83+B84</f>
        <v>85</v>
      </c>
      <c r="C85" s="527">
        <f>C79+C80+C83+C84</f>
        <v>0</v>
      </c>
      <c r="D85" s="527">
        <f>D79+D80+D83+D84</f>
        <v>180</v>
      </c>
      <c r="E85" s="527">
        <f>E79+E80+E83+E84</f>
        <v>22</v>
      </c>
      <c r="F85" s="527">
        <f t="shared" si="11"/>
        <v>287</v>
      </c>
      <c r="G85" s="527">
        <f>G79+G83</f>
        <v>4</v>
      </c>
      <c r="L85" s="1211">
        <v>3</v>
      </c>
      <c r="M85" s="1211">
        <v>0</v>
      </c>
    </row>
    <row r="87" spans="1:13" ht="24">
      <c r="A87" s="255" t="s">
        <v>1508</v>
      </c>
      <c r="B87" s="640"/>
      <c r="C87" s="640"/>
      <c r="D87" s="640"/>
      <c r="E87" s="640"/>
      <c r="F87" s="527">
        <f>SUM(B87:E87)</f>
        <v>0</v>
      </c>
      <c r="G87" s="640"/>
      <c r="H87" s="640"/>
      <c r="I87" s="640"/>
      <c r="J87" s="527">
        <f>SUM(H87:I87)</f>
        <v>0</v>
      </c>
      <c r="K87" s="640"/>
      <c r="L87" s="1211">
        <v>9</v>
      </c>
      <c r="M87" s="1211">
        <v>9</v>
      </c>
    </row>
    <row r="88" spans="1:13">
      <c r="L88" s="1001"/>
      <c r="M88" s="1001"/>
    </row>
    <row r="89" spans="1:13">
      <c r="A89" s="529" t="s">
        <v>1509</v>
      </c>
      <c r="B89" s="527">
        <f t="shared" ref="B89:G89" si="12">B69+B77+B85+B87</f>
        <v>134</v>
      </c>
      <c r="C89" s="527">
        <f t="shared" si="12"/>
        <v>0</v>
      </c>
      <c r="D89" s="527">
        <f t="shared" si="12"/>
        <v>237</v>
      </c>
      <c r="E89" s="527">
        <f t="shared" si="12"/>
        <v>60</v>
      </c>
      <c r="F89" s="527">
        <f t="shared" si="12"/>
        <v>431</v>
      </c>
      <c r="G89" s="527">
        <f t="shared" si="12"/>
        <v>13</v>
      </c>
      <c r="L89" s="1189">
        <v>0</v>
      </c>
      <c r="M89" s="1211">
        <v>0</v>
      </c>
    </row>
  </sheetData>
  <sheetProtection algorithmName="SHA-512" hashValue="PsuWxZScKV0WGhUGFBWLz9WYdcCsp59U47IcH/GHkTEssZdvKvqM/Z0xf5vSkUzxQu8B7aAgKFRdZNF0u4sWiw==" saltValue="14dsdT9SuPsOn3M7c582SA==" spinCount="100000" sheet="1" objects="1" scenarios="1"/>
  <mergeCells count="37">
    <mergeCell ref="H25:H26"/>
    <mergeCell ref="B25:C25"/>
    <mergeCell ref="E25:E26"/>
    <mergeCell ref="A6:K6"/>
    <mergeCell ref="A19:K19"/>
    <mergeCell ref="H59:H60"/>
    <mergeCell ref="C1:D1"/>
    <mergeCell ref="A17:K17"/>
    <mergeCell ref="H24:K24"/>
    <mergeCell ref="A24:A27"/>
    <mergeCell ref="B24:G24"/>
    <mergeCell ref="I25:I26"/>
    <mergeCell ref="A20:J20"/>
    <mergeCell ref="A22:K22"/>
    <mergeCell ref="A21:K21"/>
    <mergeCell ref="F25:F26"/>
    <mergeCell ref="J25:J26"/>
    <mergeCell ref="K25:K26"/>
    <mergeCell ref="A4:K4"/>
    <mergeCell ref="D25:D26"/>
    <mergeCell ref="G25:G26"/>
    <mergeCell ref="A58:A61"/>
    <mergeCell ref="I59:I60"/>
    <mergeCell ref="A8:J8"/>
    <mergeCell ref="A7:K7"/>
    <mergeCell ref="B10:C10"/>
    <mergeCell ref="D10:E10"/>
    <mergeCell ref="F10:F11"/>
    <mergeCell ref="J59:J60"/>
    <mergeCell ref="B59:C59"/>
    <mergeCell ref="B58:F58"/>
    <mergeCell ref="H58:K58"/>
    <mergeCell ref="K59:K60"/>
    <mergeCell ref="D59:D60"/>
    <mergeCell ref="E59:E60"/>
    <mergeCell ref="F59:F60"/>
    <mergeCell ref="G59:G60"/>
  </mergeCells>
  <dataValidations count="1">
    <dataValidation type="whole" allowBlank="1" showInputMessage="1" showErrorMessage="1" errorTitle="Erreur de saisie" error="Vous devez saisir une valeur entière" sqref="K87 G87:I87 B87:E87 H84:I84 B81:E84 K83 G83:I83 H81:I82 K79 G79:I79 B79:E79 H76:I76 B73:E76 K75 G75:I75 H73:I74 K71 G71:I71 B71:E71 H68:I68 B65:E68 K67 G67:I67 H65:I66 K63 G63:I63 B63:E63 K53 G53:I53 B53:E53 H50:I50 B47:E50 K49 G49:I49 H47:I48 K45 G45:I45 B45:E45 H42:I42 B39:E42 K41 G41:I41 H39:I40 K37 G37:I37 B37:E37 H34:I34 B31:E34 K33 G33:I33 H31:I32 K29 G29:I29 B29:E29 B12:E14">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52" orientation="portrait" r:id="rId1"/>
  <headerFooter alignWithMargins="0">
    <oddFooter>&amp;LRSU 2020 - Présentation au CTP&amp;R&amp;P/&amp;N
&amp;A</oddFooter>
  </headerFooter>
</worksheet>
</file>

<file path=xl/worksheets/sheet78.xml><?xml version="1.0" encoding="utf-8"?>
<worksheet xmlns="http://schemas.openxmlformats.org/spreadsheetml/2006/main" xmlns:r="http://schemas.openxmlformats.org/officeDocument/2006/relationships">
  <sheetPr codeName="Feuil70">
    <pageSetUpPr fitToPage="1"/>
  </sheetPr>
  <dimension ref="A1:L47"/>
  <sheetViews>
    <sheetView showGridLines="0" zoomScaleSheetLayoutView="100" workbookViewId="0"/>
  </sheetViews>
  <sheetFormatPr baseColWidth="10" defaultColWidth="10.85546875" defaultRowHeight="12.75" customHeight="1"/>
  <cols>
    <col min="1" max="1" width="38.42578125" customWidth="1"/>
    <col min="8" max="9" width="10.85546875" customWidth="1"/>
  </cols>
  <sheetData>
    <row r="1" spans="1:12" ht="17.100000000000001" customHeight="1">
      <c r="C1" s="2245" t="s">
        <v>958</v>
      </c>
      <c r="D1" s="2245"/>
    </row>
    <row r="3" spans="1:12" ht="13.5" thickBot="1"/>
    <row r="4" spans="1:12" ht="19.5" customHeight="1" thickBot="1">
      <c r="A4" s="2791" t="s">
        <v>2572</v>
      </c>
      <c r="B4" s="2791"/>
      <c r="C4" s="2791"/>
      <c r="D4" s="2791"/>
      <c r="E4" s="2791"/>
      <c r="F4" s="2791"/>
      <c r="G4" s="2791"/>
      <c r="H4" s="2791"/>
      <c r="I4" s="2791"/>
      <c r="J4" s="2791"/>
      <c r="K4" s="2791"/>
    </row>
    <row r="6" spans="1:12" ht="12.75" customHeight="1">
      <c r="A6" s="3029" t="s">
        <v>2438</v>
      </c>
      <c r="B6" s="2379"/>
      <c r="C6" s="2379"/>
      <c r="D6" s="2379"/>
      <c r="E6" s="2379"/>
      <c r="F6" s="2379"/>
      <c r="G6" s="2379"/>
      <c r="H6" s="2379"/>
      <c r="I6" s="2379"/>
      <c r="J6" s="2379"/>
      <c r="K6" s="2379"/>
    </row>
    <row r="7" spans="1:12">
      <c r="A7" s="3007" t="s">
        <v>1411</v>
      </c>
      <c r="B7" s="3007"/>
      <c r="C7" s="3007"/>
      <c r="D7" s="3007"/>
      <c r="E7" s="3007"/>
      <c r="F7" s="3007"/>
      <c r="G7" s="3007"/>
      <c r="H7" s="3007"/>
      <c r="I7" s="3007"/>
      <c r="J7" s="3007"/>
      <c r="K7" s="3007"/>
    </row>
    <row r="8" spans="1:12">
      <c r="A8" s="2928" t="s">
        <v>1819</v>
      </c>
      <c r="B8" s="2929"/>
      <c r="C8" s="2929"/>
      <c r="D8" s="2929"/>
      <c r="E8" s="2929"/>
      <c r="F8" s="2929"/>
      <c r="G8" s="2929"/>
      <c r="H8" s="2929"/>
      <c r="I8" s="2929"/>
      <c r="J8" s="2929"/>
      <c r="K8" s="245"/>
    </row>
    <row r="10" spans="1:12" ht="66.75" customHeight="1">
      <c r="B10" s="2787" t="s">
        <v>1510</v>
      </c>
      <c r="C10" s="3036"/>
      <c r="D10" s="3036"/>
      <c r="E10" s="3036"/>
      <c r="F10" s="2788"/>
      <c r="H10" s="3045" t="s">
        <v>2394</v>
      </c>
      <c r="I10" s="3046"/>
      <c r="J10" s="3047"/>
      <c r="K10" s="179"/>
    </row>
    <row r="11" spans="1:12" ht="15" customHeight="1">
      <c r="B11" s="257" t="s">
        <v>733</v>
      </c>
      <c r="C11" s="258" t="s">
        <v>733</v>
      </c>
      <c r="D11" s="3048" t="s">
        <v>734</v>
      </c>
      <c r="E11" s="3048" t="s">
        <v>424</v>
      </c>
      <c r="F11" s="3043" t="s">
        <v>768</v>
      </c>
      <c r="G11" s="3049" t="s">
        <v>1438</v>
      </c>
      <c r="H11" s="3050" t="s">
        <v>707</v>
      </c>
      <c r="I11" s="3041" t="s">
        <v>708</v>
      </c>
      <c r="J11" s="3041" t="s">
        <v>768</v>
      </c>
      <c r="K11" s="2796" t="s">
        <v>1437</v>
      </c>
    </row>
    <row r="12" spans="1:12" ht="60.75" customHeight="1">
      <c r="B12" s="259" t="s">
        <v>736</v>
      </c>
      <c r="C12" s="286" t="s">
        <v>737</v>
      </c>
      <c r="D12" s="3049"/>
      <c r="E12" s="3049"/>
      <c r="F12" s="3044"/>
      <c r="G12" s="3049"/>
      <c r="H12" s="3051"/>
      <c r="I12" s="3042"/>
      <c r="J12" s="3042"/>
      <c r="K12" s="2805"/>
    </row>
    <row r="13" spans="1:12">
      <c r="B13" s="260" t="s">
        <v>901</v>
      </c>
      <c r="C13" s="261" t="s">
        <v>902</v>
      </c>
      <c r="D13" s="261" t="s">
        <v>903</v>
      </c>
      <c r="E13" s="261" t="s">
        <v>904</v>
      </c>
      <c r="F13" s="261" t="s">
        <v>905</v>
      </c>
      <c r="G13" s="261" t="s">
        <v>906</v>
      </c>
      <c r="H13" s="261" t="s">
        <v>907</v>
      </c>
      <c r="I13" s="261" t="s">
        <v>908</v>
      </c>
      <c r="J13" s="260" t="s">
        <v>909</v>
      </c>
      <c r="K13" s="262" t="s">
        <v>2128</v>
      </c>
    </row>
    <row r="14" spans="1:12">
      <c r="B14" s="1242">
        <v>10</v>
      </c>
      <c r="C14" s="1242">
        <v>20</v>
      </c>
      <c r="D14" s="1242">
        <v>30</v>
      </c>
      <c r="E14" s="1242">
        <v>40</v>
      </c>
      <c r="F14" s="1242">
        <v>50</v>
      </c>
      <c r="G14" s="1242">
        <v>60</v>
      </c>
      <c r="H14" s="1219">
        <v>1</v>
      </c>
      <c r="I14" s="1219">
        <v>2</v>
      </c>
      <c r="J14" s="1219">
        <v>3</v>
      </c>
      <c r="K14" s="1242">
        <v>4</v>
      </c>
      <c r="L14" s="1211" t="s">
        <v>1210</v>
      </c>
    </row>
    <row r="15" spans="1:12">
      <c r="A15" s="263" t="s">
        <v>2065</v>
      </c>
      <c r="B15" s="733"/>
      <c r="C15" s="733"/>
      <c r="D15" s="733"/>
      <c r="E15" s="733"/>
      <c r="F15" s="530">
        <f>SUM(B15:E15)</f>
        <v>0</v>
      </c>
      <c r="G15" s="733"/>
      <c r="H15" s="733"/>
      <c r="I15" s="733"/>
      <c r="J15" s="530">
        <f t="shared" ref="J15:J21" si="0">H15+I15</f>
        <v>0</v>
      </c>
      <c r="K15" s="733"/>
      <c r="L15" s="1232">
        <v>31</v>
      </c>
    </row>
    <row r="16" spans="1:12">
      <c r="A16" s="263" t="s">
        <v>1365</v>
      </c>
      <c r="B16" s="733"/>
      <c r="C16" s="733"/>
      <c r="D16" s="733"/>
      <c r="E16" s="733"/>
      <c r="F16" s="530">
        <f t="shared" ref="F16:F24" si="1">SUM(B16:E16)</f>
        <v>0</v>
      </c>
      <c r="G16" s="733"/>
      <c r="H16" s="733"/>
      <c r="I16" s="733"/>
      <c r="J16" s="530">
        <f t="shared" si="0"/>
        <v>0</v>
      </c>
      <c r="K16" s="733"/>
      <c r="L16" s="1232" t="s">
        <v>695</v>
      </c>
    </row>
    <row r="17" spans="1:12">
      <c r="A17" s="263" t="s">
        <v>178</v>
      </c>
      <c r="B17" s="733">
        <v>0</v>
      </c>
      <c r="C17" s="733">
        <v>0</v>
      </c>
      <c r="D17" s="733">
        <v>3</v>
      </c>
      <c r="E17" s="733">
        <v>3</v>
      </c>
      <c r="F17" s="530">
        <f t="shared" si="1"/>
        <v>6</v>
      </c>
      <c r="G17" s="733">
        <v>0</v>
      </c>
      <c r="H17" s="733">
        <v>0</v>
      </c>
      <c r="I17" s="733">
        <v>6</v>
      </c>
      <c r="J17" s="530">
        <f t="shared" si="0"/>
        <v>6</v>
      </c>
      <c r="K17" s="733">
        <v>0</v>
      </c>
      <c r="L17" s="1232" t="s">
        <v>179</v>
      </c>
    </row>
    <row r="18" spans="1:12">
      <c r="A18" s="263" t="s">
        <v>180</v>
      </c>
      <c r="B18" s="733"/>
      <c r="C18" s="733"/>
      <c r="D18" s="733"/>
      <c r="E18" s="733"/>
      <c r="F18" s="530">
        <f t="shared" si="1"/>
        <v>0</v>
      </c>
      <c r="G18" s="733"/>
      <c r="H18" s="733"/>
      <c r="I18" s="733"/>
      <c r="J18" s="530">
        <f t="shared" si="0"/>
        <v>0</v>
      </c>
      <c r="K18" s="733"/>
      <c r="L18" s="1232" t="s">
        <v>181</v>
      </c>
    </row>
    <row r="19" spans="1:12">
      <c r="A19" s="263" t="s">
        <v>182</v>
      </c>
      <c r="B19" s="733"/>
      <c r="C19" s="733"/>
      <c r="D19" s="733"/>
      <c r="E19" s="733"/>
      <c r="F19" s="530">
        <f t="shared" si="1"/>
        <v>0</v>
      </c>
      <c r="G19" s="733"/>
      <c r="H19" s="733"/>
      <c r="I19" s="733"/>
      <c r="J19" s="530">
        <f t="shared" si="0"/>
        <v>0</v>
      </c>
      <c r="K19" s="733"/>
      <c r="L19" s="1232" t="s">
        <v>183</v>
      </c>
    </row>
    <row r="20" spans="1:12" ht="24">
      <c r="A20" s="264" t="s">
        <v>172</v>
      </c>
      <c r="B20" s="824">
        <v>7</v>
      </c>
      <c r="C20" s="824">
        <v>0</v>
      </c>
      <c r="D20" s="824">
        <v>7</v>
      </c>
      <c r="E20" s="824">
        <v>2</v>
      </c>
      <c r="F20" s="825">
        <f t="shared" si="1"/>
        <v>16</v>
      </c>
      <c r="G20" s="824">
        <v>0</v>
      </c>
      <c r="H20" s="824">
        <v>7</v>
      </c>
      <c r="I20" s="824">
        <v>4</v>
      </c>
      <c r="J20" s="825">
        <f t="shared" si="0"/>
        <v>11</v>
      </c>
      <c r="K20" s="824">
        <v>0</v>
      </c>
      <c r="L20" s="1232" t="s">
        <v>184</v>
      </c>
    </row>
    <row r="21" spans="1:12">
      <c r="A21" s="346" t="s">
        <v>607</v>
      </c>
      <c r="B21" s="1018"/>
      <c r="C21" s="1018"/>
      <c r="D21" s="1018"/>
      <c r="E21" s="1018"/>
      <c r="F21" s="1068">
        <f t="shared" si="1"/>
        <v>0</v>
      </c>
      <c r="G21" s="1018"/>
      <c r="H21" s="1018"/>
      <c r="I21" s="1018"/>
      <c r="J21" s="1068">
        <f t="shared" si="0"/>
        <v>0</v>
      </c>
      <c r="K21" s="1018"/>
      <c r="L21" s="1232" t="s">
        <v>2027</v>
      </c>
    </row>
    <row r="22" spans="1:12">
      <c r="A22" s="531" t="s">
        <v>768</v>
      </c>
      <c r="B22" s="710">
        <f>SUM(B15:B21)</f>
        <v>7</v>
      </c>
      <c r="C22" s="710">
        <f>SUM(C15:C21)</f>
        <v>0</v>
      </c>
      <c r="D22" s="710">
        <f>SUM(D15:D21)</f>
        <v>10</v>
      </c>
      <c r="E22" s="710">
        <f>SUM(E15:E21)</f>
        <v>5</v>
      </c>
      <c r="F22" s="710">
        <f t="shared" si="1"/>
        <v>22</v>
      </c>
      <c r="G22" s="710">
        <f>SUM(G15:G21)</f>
        <v>0</v>
      </c>
      <c r="H22" s="710">
        <f>SUM(H15:H21)</f>
        <v>7</v>
      </c>
      <c r="I22" s="710">
        <f>SUM(I15:I21)</f>
        <v>10</v>
      </c>
      <c r="J22" s="710">
        <f>H22+I22</f>
        <v>17</v>
      </c>
      <c r="K22" s="710">
        <f>SUM(K15:K21)</f>
        <v>0</v>
      </c>
      <c r="L22" s="1232" t="s">
        <v>697</v>
      </c>
    </row>
    <row r="23" spans="1:12">
      <c r="A23" s="263" t="s">
        <v>2081</v>
      </c>
      <c r="B23" s="733">
        <v>1</v>
      </c>
      <c r="C23" s="733">
        <v>0</v>
      </c>
      <c r="D23" s="733">
        <v>0</v>
      </c>
      <c r="E23" s="733">
        <v>0</v>
      </c>
      <c r="F23" s="530">
        <f t="shared" si="1"/>
        <v>1</v>
      </c>
      <c r="G23" s="733">
        <v>0</v>
      </c>
      <c r="H23" s="733">
        <v>1</v>
      </c>
      <c r="I23" s="733">
        <v>0</v>
      </c>
      <c r="J23" s="530">
        <f>H23+I23</f>
        <v>1</v>
      </c>
      <c r="K23" s="733">
        <v>0</v>
      </c>
      <c r="L23" s="1211">
        <v>10</v>
      </c>
    </row>
    <row r="24" spans="1:12" ht="24">
      <c r="A24" s="264" t="s">
        <v>984</v>
      </c>
      <c r="B24" s="733">
        <v>1</v>
      </c>
      <c r="C24" s="733">
        <v>0</v>
      </c>
      <c r="D24" s="733">
        <v>1</v>
      </c>
      <c r="E24" s="733">
        <v>0</v>
      </c>
      <c r="F24" s="530">
        <f t="shared" si="1"/>
        <v>2</v>
      </c>
      <c r="G24" s="733">
        <v>0</v>
      </c>
      <c r="H24" s="733">
        <v>1</v>
      </c>
      <c r="I24" s="733">
        <v>0</v>
      </c>
      <c r="J24" s="530">
        <f>H24+I24</f>
        <v>1</v>
      </c>
      <c r="K24" s="733">
        <v>0</v>
      </c>
      <c r="L24" s="1211">
        <v>12</v>
      </c>
    </row>
    <row r="25" spans="1:12">
      <c r="A25" s="532" t="s">
        <v>2271</v>
      </c>
      <c r="B25" s="530">
        <f>B22+B23+B24</f>
        <v>9</v>
      </c>
      <c r="C25" s="530">
        <f t="shared" ref="C25:K25" si="2">C22+C23+C24</f>
        <v>0</v>
      </c>
      <c r="D25" s="530">
        <f t="shared" si="2"/>
        <v>11</v>
      </c>
      <c r="E25" s="530">
        <f t="shared" si="2"/>
        <v>5</v>
      </c>
      <c r="F25" s="530">
        <f>F22+F23+F24</f>
        <v>25</v>
      </c>
      <c r="G25" s="530">
        <f t="shared" si="2"/>
        <v>0</v>
      </c>
      <c r="H25" s="530">
        <f t="shared" si="2"/>
        <v>9</v>
      </c>
      <c r="I25" s="530">
        <f t="shared" si="2"/>
        <v>10</v>
      </c>
      <c r="J25" s="530">
        <f>H25+I25</f>
        <v>19</v>
      </c>
      <c r="K25" s="530">
        <f t="shared" si="2"/>
        <v>0</v>
      </c>
      <c r="L25" s="1211">
        <v>99</v>
      </c>
    </row>
    <row r="27" spans="1:12" ht="13.5" thickBot="1"/>
    <row r="28" spans="1:12" ht="20.25" customHeight="1" thickBot="1">
      <c r="A28" s="3021" t="s">
        <v>2439</v>
      </c>
      <c r="B28" s="3021"/>
      <c r="C28" s="3021"/>
      <c r="D28" s="3021"/>
      <c r="E28" s="3021"/>
      <c r="F28" s="3021"/>
      <c r="G28" s="3021"/>
      <c r="H28" s="3021"/>
      <c r="I28" s="3021"/>
      <c r="J28" s="3021"/>
      <c r="K28" s="3021"/>
    </row>
    <row r="30" spans="1:12" ht="12.75" customHeight="1">
      <c r="A30" s="2824" t="s">
        <v>2440</v>
      </c>
      <c r="B30" s="2380"/>
      <c r="C30" s="2380"/>
      <c r="D30" s="2380"/>
      <c r="E30" s="2380"/>
      <c r="F30" s="2380"/>
      <c r="G30" s="2380"/>
      <c r="H30" s="2380"/>
      <c r="I30" s="2380"/>
      <c r="J30" s="2380"/>
      <c r="K30" s="2380"/>
    </row>
    <row r="31" spans="1:12" ht="12.75" customHeight="1">
      <c r="A31" s="3007" t="s">
        <v>1411</v>
      </c>
      <c r="B31" s="3007"/>
      <c r="C31" s="3007"/>
      <c r="D31" s="3007"/>
      <c r="E31" s="3007"/>
      <c r="F31" s="3007"/>
      <c r="G31" s="3007"/>
      <c r="H31" s="3007"/>
      <c r="I31" s="3007"/>
      <c r="J31" s="3007"/>
      <c r="K31" s="3007"/>
    </row>
    <row r="32" spans="1:12" ht="12.75" customHeight="1">
      <c r="A32" s="2928" t="s">
        <v>1819</v>
      </c>
      <c r="B32" s="2929"/>
      <c r="C32" s="2929"/>
      <c r="D32" s="2929"/>
      <c r="E32" s="2929"/>
      <c r="F32" s="2929"/>
      <c r="G32" s="2929"/>
      <c r="H32" s="2929"/>
      <c r="I32" s="2929"/>
      <c r="J32" s="2929"/>
    </row>
    <row r="34" spans="1:6" ht="40.5" customHeight="1">
      <c r="B34" s="2787" t="s">
        <v>2441</v>
      </c>
      <c r="C34" s="3036"/>
      <c r="D34" s="3036"/>
      <c r="E34" s="2788"/>
    </row>
    <row r="35" spans="1:6">
      <c r="B35" s="3037" t="s">
        <v>707</v>
      </c>
      <c r="C35" s="3038"/>
      <c r="D35" s="2789" t="s">
        <v>708</v>
      </c>
      <c r="E35" s="2790"/>
      <c r="F35" s="1259" t="s">
        <v>2025</v>
      </c>
    </row>
    <row r="36" spans="1:6">
      <c r="A36" s="263" t="s">
        <v>2065</v>
      </c>
      <c r="B36" s="3040"/>
      <c r="C36" s="3039"/>
      <c r="D36" s="2764"/>
      <c r="E36" s="3039"/>
      <c r="F36" s="1260">
        <v>31</v>
      </c>
    </row>
    <row r="37" spans="1:6">
      <c r="A37" s="265" t="s">
        <v>1365</v>
      </c>
      <c r="B37" s="2793"/>
      <c r="C37" s="3032"/>
      <c r="D37" s="2793"/>
      <c r="E37" s="3039"/>
      <c r="F37" s="1260" t="s">
        <v>695</v>
      </c>
    </row>
    <row r="38" spans="1:6">
      <c r="A38" s="265" t="s">
        <v>178</v>
      </c>
      <c r="B38" s="2793">
        <v>0</v>
      </c>
      <c r="C38" s="3032"/>
      <c r="D38" s="2793">
        <v>6</v>
      </c>
      <c r="E38" s="3039"/>
      <c r="F38" s="1260" t="s">
        <v>179</v>
      </c>
    </row>
    <row r="39" spans="1:6">
      <c r="A39" s="265" t="s">
        <v>180</v>
      </c>
      <c r="B39" s="2793"/>
      <c r="C39" s="3032"/>
      <c r="D39" s="2793"/>
      <c r="E39" s="3039"/>
      <c r="F39" s="1260" t="s">
        <v>181</v>
      </c>
    </row>
    <row r="40" spans="1:6">
      <c r="A40" s="265" t="s">
        <v>182</v>
      </c>
      <c r="B40" s="2793"/>
      <c r="C40" s="3032"/>
      <c r="D40" s="2793"/>
      <c r="E40" s="3039"/>
      <c r="F40" s="1260" t="s">
        <v>183</v>
      </c>
    </row>
    <row r="41" spans="1:6" ht="24">
      <c r="A41" s="823" t="s">
        <v>172</v>
      </c>
      <c r="B41" s="2793">
        <v>7</v>
      </c>
      <c r="C41" s="3032"/>
      <c r="D41" s="2793">
        <v>4</v>
      </c>
      <c r="E41" s="3039"/>
      <c r="F41" s="1260" t="s">
        <v>184</v>
      </c>
    </row>
    <row r="42" spans="1:6">
      <c r="A42" s="346" t="s">
        <v>607</v>
      </c>
      <c r="B42" s="3033"/>
      <c r="C42" s="3034"/>
      <c r="D42" s="3033"/>
      <c r="E42" s="3035"/>
      <c r="F42" s="1260" t="s">
        <v>2027</v>
      </c>
    </row>
    <row r="43" spans="1:6">
      <c r="A43" s="533" t="s">
        <v>768</v>
      </c>
      <c r="B43" s="3030">
        <f>SUM(B36:C42)</f>
        <v>7</v>
      </c>
      <c r="C43" s="3030"/>
      <c r="D43" s="3030">
        <f>SUM(D36:E42)</f>
        <v>10</v>
      </c>
      <c r="E43" s="3030"/>
      <c r="F43" s="1260" t="s">
        <v>697</v>
      </c>
    </row>
    <row r="44" spans="1:6">
      <c r="A44" s="265" t="s">
        <v>2081</v>
      </c>
      <c r="B44" s="3031">
        <v>1</v>
      </c>
      <c r="C44" s="3031"/>
      <c r="D44" s="2793">
        <v>0</v>
      </c>
      <c r="E44" s="3032"/>
      <c r="F44" s="1259">
        <v>10</v>
      </c>
    </row>
    <row r="45" spans="1:6" ht="24">
      <c r="A45" s="266" t="s">
        <v>984</v>
      </c>
      <c r="B45" s="3031">
        <v>1</v>
      </c>
      <c r="C45" s="3031"/>
      <c r="D45" s="2793">
        <v>0</v>
      </c>
      <c r="E45" s="3032"/>
      <c r="F45" s="1259">
        <v>12</v>
      </c>
    </row>
    <row r="46" spans="1:6">
      <c r="A46" s="533" t="s">
        <v>2271</v>
      </c>
      <c r="B46" s="3030">
        <f>B43+B44+B45</f>
        <v>9</v>
      </c>
      <c r="C46" s="3030"/>
      <c r="D46" s="3030">
        <f>D43+D44+D45</f>
        <v>10</v>
      </c>
      <c r="E46" s="3030"/>
      <c r="F46" s="1259">
        <v>99</v>
      </c>
    </row>
    <row r="47" spans="1:6">
      <c r="B47" s="1211">
        <v>1</v>
      </c>
      <c r="C47" s="1211">
        <v>1</v>
      </c>
      <c r="D47" s="1211">
        <v>2</v>
      </c>
      <c r="E47" s="1211">
        <v>2</v>
      </c>
      <c r="F47" s="1211" t="s">
        <v>1307</v>
      </c>
    </row>
  </sheetData>
  <sheetProtection algorithmName="SHA-512" hashValue="MGPBuYBFrnd1OibinfWp948qzO1k19yt/7Jb6bz6I2LBUip7DtO+AW0m6erUdl3wiBw0kzu0cvT4szbFRIkwog==" saltValue="NikpwOQFmmv1u4gYm38QFw==" spinCount="100000" sheet="1" objects="1" scenarios="1"/>
  <mergeCells count="44">
    <mergeCell ref="A28:K28"/>
    <mergeCell ref="H11:H12"/>
    <mergeCell ref="A6:K6"/>
    <mergeCell ref="A7:K7"/>
    <mergeCell ref="A8:J8"/>
    <mergeCell ref="I11:I12"/>
    <mergeCell ref="K11:K12"/>
    <mergeCell ref="C1:D1"/>
    <mergeCell ref="A4:K4"/>
    <mergeCell ref="J11:J12"/>
    <mergeCell ref="F11:F12"/>
    <mergeCell ref="B10:F10"/>
    <mergeCell ref="H10:J10"/>
    <mergeCell ref="D11:D12"/>
    <mergeCell ref="E11:E12"/>
    <mergeCell ref="G11:G12"/>
    <mergeCell ref="A32:J32"/>
    <mergeCell ref="A30:K30"/>
    <mergeCell ref="A31:K31"/>
    <mergeCell ref="B39:C39"/>
    <mergeCell ref="D39:E39"/>
    <mergeCell ref="B36:C36"/>
    <mergeCell ref="B38:C38"/>
    <mergeCell ref="D38:E38"/>
    <mergeCell ref="D36:E36"/>
    <mergeCell ref="D37:E37"/>
    <mergeCell ref="B42:C42"/>
    <mergeCell ref="D42:E42"/>
    <mergeCell ref="B34:E34"/>
    <mergeCell ref="B35:C35"/>
    <mergeCell ref="D35:E35"/>
    <mergeCell ref="B41:C41"/>
    <mergeCell ref="D41:E41"/>
    <mergeCell ref="B40:C40"/>
    <mergeCell ref="D40:E40"/>
    <mergeCell ref="B37:C37"/>
    <mergeCell ref="B46:C46"/>
    <mergeCell ref="D46:E46"/>
    <mergeCell ref="B43:C43"/>
    <mergeCell ref="D43:E43"/>
    <mergeCell ref="B44:C44"/>
    <mergeCell ref="D44:E44"/>
    <mergeCell ref="B45:C45"/>
    <mergeCell ref="D45:E45"/>
  </mergeCells>
  <dataValidations count="1">
    <dataValidation type="whole" allowBlank="1" showInputMessage="1" showErrorMessage="1" errorTitle="Erreur de saisie" error="Vous devez saisir une valeur entière" sqref="B44:E45 B36:E42 G23:I24 B23:E24 K23:K24 G15:I21 B15:E21 K15:K21">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scale="61" orientation="portrait" r:id="rId1"/>
  <headerFooter alignWithMargins="0">
    <oddFooter>&amp;LRSU 2020 - Présentation au CTP&amp;R&amp;P/&amp;N
&amp;A</oddFooter>
  </headerFooter>
  <rowBreaks count="1" manualBreakCount="1">
    <brk id="27" max="10" man="1"/>
  </rowBreaks>
</worksheet>
</file>

<file path=xl/worksheets/sheet79.xml><?xml version="1.0" encoding="utf-8"?>
<worksheet xmlns="http://schemas.openxmlformats.org/spreadsheetml/2006/main" xmlns:r="http://schemas.openxmlformats.org/officeDocument/2006/relationships">
  <sheetPr codeName="Feuil71">
    <pageSetUpPr fitToPage="1"/>
  </sheetPr>
  <dimension ref="A1:G23"/>
  <sheetViews>
    <sheetView showGridLines="0" workbookViewId="0"/>
  </sheetViews>
  <sheetFormatPr baseColWidth="10" defaultColWidth="10.85546875" defaultRowHeight="12.75" customHeight="1"/>
  <cols>
    <col min="1" max="1" width="50.140625" customWidth="1"/>
    <col min="2" max="6" width="18.7109375" customWidth="1"/>
    <col min="7" max="7" width="11.28515625" customWidth="1"/>
  </cols>
  <sheetData>
    <row r="1" spans="1:7" ht="17.100000000000001" customHeight="1">
      <c r="B1" s="2245" t="s">
        <v>958</v>
      </c>
      <c r="C1" s="2245"/>
    </row>
    <row r="4" spans="1:7" ht="18.75" customHeight="1">
      <c r="A4" s="2277" t="s">
        <v>2573</v>
      </c>
      <c r="B4" s="2277"/>
      <c r="C4" s="2277"/>
      <c r="D4" s="2277"/>
      <c r="E4" s="2277"/>
      <c r="F4" s="2277"/>
    </row>
    <row r="6" spans="1:7" ht="13.5" customHeight="1">
      <c r="A6" s="3061" t="s">
        <v>2395</v>
      </c>
      <c r="B6" s="3062"/>
      <c r="C6" s="3062"/>
      <c r="D6" s="3062"/>
      <c r="E6" s="3062"/>
      <c r="F6" s="3062"/>
    </row>
    <row r="7" spans="1:7" ht="13.5" customHeight="1">
      <c r="A7" s="2928" t="s">
        <v>1819</v>
      </c>
      <c r="B7" s="2378"/>
      <c r="C7" s="2378"/>
      <c r="D7" s="2378"/>
      <c r="E7" s="2378"/>
      <c r="F7" s="2378"/>
    </row>
    <row r="8" spans="1:7">
      <c r="B8" s="1226">
        <v>1</v>
      </c>
      <c r="C8" s="1226">
        <v>1</v>
      </c>
      <c r="D8" s="1226">
        <v>2</v>
      </c>
      <c r="E8" s="1226">
        <v>2</v>
      </c>
      <c r="F8" s="1226">
        <v>0</v>
      </c>
      <c r="G8" s="1215" t="s">
        <v>2082</v>
      </c>
    </row>
    <row r="9" spans="1:7" ht="38.25" customHeight="1">
      <c r="B9" s="3063" t="s">
        <v>2396</v>
      </c>
      <c r="C9" s="3063"/>
      <c r="D9" s="3064" t="s">
        <v>2397</v>
      </c>
      <c r="E9" s="3064"/>
      <c r="F9" s="3065" t="s">
        <v>768</v>
      </c>
    </row>
    <row r="10" spans="1:7" ht="38.25" customHeight="1">
      <c r="B10" s="229" t="s">
        <v>707</v>
      </c>
      <c r="C10" s="229" t="s">
        <v>708</v>
      </c>
      <c r="D10" s="229" t="s">
        <v>707</v>
      </c>
      <c r="E10" s="229" t="s">
        <v>708</v>
      </c>
      <c r="F10" s="3066"/>
    </row>
    <row r="11" spans="1:7">
      <c r="B11" s="213" t="s">
        <v>744</v>
      </c>
      <c r="C11" s="213" t="s">
        <v>745</v>
      </c>
      <c r="D11" s="213" t="s">
        <v>746</v>
      </c>
      <c r="E11" s="213" t="s">
        <v>747</v>
      </c>
      <c r="F11" s="213"/>
    </row>
    <row r="12" spans="1:7">
      <c r="A12" s="268" t="s">
        <v>2083</v>
      </c>
    </row>
    <row r="13" spans="1:7">
      <c r="A13" s="99" t="s">
        <v>2084</v>
      </c>
      <c r="B13" s="633">
        <v>1</v>
      </c>
      <c r="C13" s="584">
        <v>18</v>
      </c>
      <c r="D13" s="633">
        <v>0</v>
      </c>
      <c r="E13" s="584">
        <v>5</v>
      </c>
      <c r="F13" s="1069">
        <f>SUM(B13:E13)</f>
        <v>24</v>
      </c>
      <c r="G13" s="1215">
        <v>1</v>
      </c>
    </row>
    <row r="14" spans="1:7">
      <c r="A14" s="99" t="s">
        <v>2085</v>
      </c>
      <c r="B14" s="584">
        <v>0</v>
      </c>
      <c r="C14" s="632">
        <v>10</v>
      </c>
      <c r="D14" s="584">
        <v>0</v>
      </c>
      <c r="E14" s="632">
        <v>0</v>
      </c>
      <c r="F14" s="534">
        <f>SUM(B14:E14)</f>
        <v>10</v>
      </c>
      <c r="G14" s="1215">
        <v>2</v>
      </c>
    </row>
    <row r="15" spans="1:7">
      <c r="A15" s="96" t="s">
        <v>2086</v>
      </c>
      <c r="B15" s="643">
        <v>0</v>
      </c>
      <c r="C15" s="584">
        <v>4</v>
      </c>
      <c r="D15" s="643">
        <v>0</v>
      </c>
      <c r="E15" s="584">
        <v>0</v>
      </c>
      <c r="F15" s="534">
        <f>SUM(B15:E15)</f>
        <v>4</v>
      </c>
      <c r="G15" s="1215">
        <v>3</v>
      </c>
    </row>
    <row r="16" spans="1:7">
      <c r="A16" s="268" t="s">
        <v>2087</v>
      </c>
    </row>
    <row r="17" spans="1:7" ht="24" customHeight="1">
      <c r="A17" s="269" t="s">
        <v>2088</v>
      </c>
      <c r="B17" s="584"/>
      <c r="C17" s="584"/>
      <c r="D17" s="584"/>
      <c r="E17" s="584"/>
      <c r="F17" s="480">
        <f>SUM(B17:E17)</f>
        <v>0</v>
      </c>
      <c r="G17" s="1215">
        <v>4</v>
      </c>
    </row>
    <row r="18" spans="1:7" ht="12" customHeight="1">
      <c r="A18" s="268" t="s">
        <v>2089</v>
      </c>
    </row>
    <row r="19" spans="1:7" ht="25.5" customHeight="1">
      <c r="A19" s="270" t="s">
        <v>2610</v>
      </c>
      <c r="B19" s="584"/>
      <c r="C19" s="584"/>
      <c r="D19" s="584"/>
      <c r="E19" s="584"/>
      <c r="F19" s="480">
        <f>SUM(B19:E19)</f>
        <v>0</v>
      </c>
      <c r="G19" s="1215">
        <v>5</v>
      </c>
    </row>
    <row r="20" spans="1:7">
      <c r="A20" s="271"/>
      <c r="B20" s="1211">
        <v>1</v>
      </c>
      <c r="C20" s="1211">
        <v>2</v>
      </c>
      <c r="D20" s="1211">
        <v>1</v>
      </c>
      <c r="E20" s="1211">
        <v>2</v>
      </c>
      <c r="F20" s="1211">
        <v>0</v>
      </c>
      <c r="G20" s="1211" t="s">
        <v>1307</v>
      </c>
    </row>
    <row r="21" spans="1:7" ht="12.75" customHeight="1">
      <c r="A21" s="3052" t="s">
        <v>2090</v>
      </c>
      <c r="B21" s="3053"/>
      <c r="C21" s="3053"/>
      <c r="D21" s="3053"/>
      <c r="E21" s="3053"/>
      <c r="F21" s="3054"/>
      <c r="G21" s="414"/>
    </row>
    <row r="22" spans="1:7">
      <c r="A22" s="3055"/>
      <c r="B22" s="3056"/>
      <c r="C22" s="3056"/>
      <c r="D22" s="3056"/>
      <c r="E22" s="3056"/>
      <c r="F22" s="3057"/>
      <c r="G22" s="414"/>
    </row>
    <row r="23" spans="1:7">
      <c r="A23" s="3058"/>
      <c r="B23" s="3059"/>
      <c r="C23" s="3059"/>
      <c r="D23" s="3059"/>
      <c r="E23" s="3059"/>
      <c r="F23" s="3060"/>
      <c r="G23" s="414"/>
    </row>
  </sheetData>
  <sheetProtection algorithmName="SHA-512" hashValue="8ktArbLd41gxjlv6oAiDCQd2dJ4R88LfqbFuS8gCXQZ8H8MW+tKtyfNqn3xLu5hozfVXDV73S0YEvf7hgqwwrg==" saltValue="zIhn4LQ52ckTH1LtrQq6Tw==" spinCount="100000" sheet="1" objects="1" scenarios="1"/>
  <mergeCells count="8">
    <mergeCell ref="A21:F23"/>
    <mergeCell ref="B1:C1"/>
    <mergeCell ref="A4:F4"/>
    <mergeCell ref="A6:F6"/>
    <mergeCell ref="B9:C9"/>
    <mergeCell ref="D9:E9"/>
    <mergeCell ref="F9:F10"/>
    <mergeCell ref="A7:F7"/>
  </mergeCells>
  <dataValidations xWindow="8286" yWindow="28833" count="1">
    <dataValidation type="whole" allowBlank="1" showInputMessage="1" showErrorMessage="1" errorTitle="Erreur de saisie" error="Vous devez saisir une valeur entière" sqref="B19:E19 B17:E17 B13:E15">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64" firstPageNumber="0" orientation="portrait" r:id="rId1"/>
  <headerFooter alignWithMargins="0">
    <oddFooter>&amp;LRSU 2020 - Présentation au CTP&amp;R&amp;P/&amp;N
&amp;A</oddFooter>
  </headerFooter>
  <rowBreaks count="1" manualBreakCount="1">
    <brk id="2" max="16383" man="1"/>
  </rowBreaks>
</worksheet>
</file>

<file path=xl/worksheets/sheet8.xml><?xml version="1.0" encoding="utf-8"?>
<worksheet xmlns="http://schemas.openxmlformats.org/spreadsheetml/2006/main" xmlns:r="http://schemas.openxmlformats.org/officeDocument/2006/relationships">
  <sheetPr codeName="Feuil75">
    <tabColor theme="8" tint="-0.249977111117893"/>
  </sheetPr>
  <dimension ref="A1"/>
  <sheetViews>
    <sheetView workbookViewId="0"/>
  </sheetViews>
  <sheetFormatPr baseColWidth="10" defaultColWidth="9.140625" defaultRowHeight="15"/>
  <cols>
    <col min="1" max="16384" width="9.140625" style="1293" collapsed="1"/>
  </cols>
  <sheetData/>
  <pageMargins left="0.7" right="0.7" top="0.75" bottom="0.75" header="0.3" footer="0.3"/>
</worksheet>
</file>

<file path=xl/worksheets/sheet80.xml><?xml version="1.0" encoding="utf-8"?>
<worksheet xmlns="http://schemas.openxmlformats.org/spreadsheetml/2006/main" xmlns:r="http://schemas.openxmlformats.org/officeDocument/2006/relationships">
  <sheetPr codeName="Feuil72">
    <pageSetUpPr fitToPage="1"/>
  </sheetPr>
  <dimension ref="A1:D24"/>
  <sheetViews>
    <sheetView showGridLines="0" workbookViewId="0"/>
  </sheetViews>
  <sheetFormatPr baseColWidth="10" defaultColWidth="10.85546875" defaultRowHeight="12.75" customHeight="1"/>
  <cols>
    <col min="1" max="1" width="7.85546875" customWidth="1"/>
    <col min="2" max="2" width="61.85546875" customWidth="1"/>
    <col min="3" max="3" width="17.42578125" customWidth="1"/>
    <col min="4" max="4" width="16.42578125" customWidth="1"/>
  </cols>
  <sheetData>
    <row r="1" spans="1:4" ht="17.100000000000001" customHeight="1">
      <c r="C1" s="1073" t="s">
        <v>958</v>
      </c>
    </row>
    <row r="5" spans="1:4">
      <c r="A5" s="3067" t="s">
        <v>452</v>
      </c>
      <c r="B5" s="3067"/>
      <c r="C5" s="3067"/>
    </row>
    <row r="7" spans="1:4">
      <c r="A7" s="2649" t="s">
        <v>2442</v>
      </c>
      <c r="B7" s="2729"/>
      <c r="C7" s="2729"/>
    </row>
    <row r="8" spans="1:4" ht="25.5" customHeight="1">
      <c r="A8" s="3072" t="s">
        <v>252</v>
      </c>
      <c r="B8" s="2748"/>
      <c r="C8" s="2748"/>
    </row>
    <row r="10" spans="1:4" ht="36">
      <c r="C10" s="359" t="s">
        <v>2574</v>
      </c>
      <c r="D10" s="1215" t="s">
        <v>2091</v>
      </c>
    </row>
    <row r="11" spans="1:4" ht="15.95" customHeight="1">
      <c r="A11" s="274" t="s">
        <v>2129</v>
      </c>
      <c r="B11" s="96" t="s">
        <v>2092</v>
      </c>
      <c r="C11" s="644">
        <v>988861</v>
      </c>
      <c r="D11" s="1215">
        <v>1</v>
      </c>
    </row>
    <row r="12" spans="1:4" ht="15.95" customHeight="1">
      <c r="A12" s="274" t="s">
        <v>2130</v>
      </c>
      <c r="B12" s="99" t="s">
        <v>1221</v>
      </c>
      <c r="C12" s="645">
        <v>67778</v>
      </c>
      <c r="D12" s="1215">
        <v>2</v>
      </c>
    </row>
    <row r="13" spans="1:4" ht="15.95" customHeight="1">
      <c r="A13" s="274" t="s">
        <v>1967</v>
      </c>
      <c r="B13" s="105" t="s">
        <v>2093</v>
      </c>
      <c r="C13" s="645">
        <v>4995</v>
      </c>
      <c r="D13" s="1215">
        <v>3</v>
      </c>
    </row>
    <row r="14" spans="1:4" ht="15.95" customHeight="1">
      <c r="A14" s="274" t="s">
        <v>1968</v>
      </c>
      <c r="B14" s="99" t="s">
        <v>2094</v>
      </c>
      <c r="C14" s="645">
        <v>0</v>
      </c>
      <c r="D14" s="1215">
        <v>4</v>
      </c>
    </row>
    <row r="15" spans="1:4" ht="15.95" customHeight="1">
      <c r="B15" s="275" t="s">
        <v>2095</v>
      </c>
      <c r="C15" s="734">
        <f>SUM(C11:C14)</f>
        <v>1061634</v>
      </c>
      <c r="D15" s="1224">
        <v>0</v>
      </c>
    </row>
    <row r="18" spans="1:4" ht="25.5" customHeight="1">
      <c r="A18" s="3070" t="s">
        <v>2079</v>
      </c>
      <c r="B18" s="3071"/>
      <c r="C18" s="3071"/>
    </row>
    <row r="20" spans="1:4">
      <c r="A20" s="929" t="s">
        <v>2303</v>
      </c>
      <c r="B20" s="55"/>
      <c r="C20" s="55"/>
    </row>
    <row r="21" spans="1:4" ht="12.75" customHeight="1">
      <c r="A21" s="276" t="s">
        <v>2130</v>
      </c>
      <c r="B21" s="3068" t="s">
        <v>947</v>
      </c>
      <c r="C21" s="3068"/>
    </row>
    <row r="22" spans="1:4">
      <c r="B22" s="3069"/>
      <c r="C22" s="3069"/>
    </row>
    <row r="23" spans="1:4">
      <c r="B23" s="3069"/>
      <c r="C23" s="3069"/>
    </row>
    <row r="24" spans="1:4">
      <c r="B24" s="3069"/>
      <c r="C24" s="3069"/>
      <c r="D24" s="414"/>
    </row>
  </sheetData>
  <sheetProtection algorithmName="SHA-512" hashValue="99rTlkbD/8bjAWbYIjs6DzcsPkZ/v6WKUItlueZBIYyeAYv45r+CfQVA1bqmvTdghWKZwdt3KSEeZP45586oOQ==" saltValue="YfUSPrzyX151j+mrsdtceA==" spinCount="100000" sheet="1" objects="1" scenarios="1"/>
  <mergeCells count="5">
    <mergeCell ref="A5:C5"/>
    <mergeCell ref="B21:C24"/>
    <mergeCell ref="A18:C18"/>
    <mergeCell ref="A8:C8"/>
    <mergeCell ref="A7:C7"/>
  </mergeCells>
  <dataValidations xWindow="10819" yWindow="51774" count="1">
    <dataValidation type="decimal" allowBlank="1" showInputMessage="1" showErrorMessage="1" errorTitle="Erreur de saisie" error="Vous devez saisir une valeur décimale" sqref="C11:C14">
      <formula1>0</formula1>
      <formula2>999999999999</formula2>
    </dataValidation>
  </dataValidations>
  <hyperlinks>
    <hyperlink ref="C1" location="Sommaire!A1" display="Retour Sommaire"/>
  </hyperlinks>
  <printOptions horizontalCentered="1"/>
  <pageMargins left="0.59055118110236227" right="0.59055118110236227" top="0.59055118110236227" bottom="0.59055118110236227" header="0.51181102362204722" footer="0.27559055118110237"/>
  <pageSetup paperSize="9" firstPageNumber="0" orientation="portrait" r:id="rId1"/>
  <headerFooter alignWithMargins="0">
    <oddFooter>&amp;LRSU 2020 - Présentation au CTP&amp;R&amp;P/&amp;N
&amp;A</oddFooter>
  </headerFooter>
</worksheet>
</file>

<file path=xl/worksheets/sheet81.xml><?xml version="1.0" encoding="utf-8"?>
<worksheet xmlns="http://schemas.openxmlformats.org/spreadsheetml/2006/main" xmlns:r="http://schemas.openxmlformats.org/officeDocument/2006/relationships">
  <sheetPr codeName="Feuil73">
    <pageSetUpPr fitToPage="1"/>
  </sheetPr>
  <dimension ref="A1:C65"/>
  <sheetViews>
    <sheetView showGridLines="0" zoomScaleNormal="100" workbookViewId="0"/>
  </sheetViews>
  <sheetFormatPr baseColWidth="10" defaultColWidth="10.85546875" defaultRowHeight="12.75" customHeight="1"/>
  <cols>
    <col min="1" max="1" width="56.42578125" customWidth="1"/>
    <col min="2" max="2" width="15.7109375" customWidth="1"/>
    <col min="3" max="3" width="11.42578125" bestFit="1" customWidth="1"/>
    <col min="4" max="5" width="10.85546875" customWidth="1"/>
    <col min="7" max="7" width="10.85546875" customWidth="1"/>
  </cols>
  <sheetData>
    <row r="1" spans="1:2" ht="17.100000000000001" customHeight="1">
      <c r="B1" s="1073" t="s">
        <v>958</v>
      </c>
    </row>
    <row r="2" spans="1:2" ht="12.75" customHeight="1" thickBot="1"/>
    <row r="3" spans="1:2" ht="13.5" thickBot="1">
      <c r="A3" s="2286" t="s">
        <v>453</v>
      </c>
      <c r="B3" s="2286"/>
    </row>
    <row r="5" spans="1:2">
      <c r="A5" s="16" t="s">
        <v>948</v>
      </c>
      <c r="B5" s="277"/>
    </row>
    <row r="6" spans="1:2" ht="39.75" customHeight="1">
      <c r="B6" s="278" t="s">
        <v>2575</v>
      </c>
    </row>
    <row r="7" spans="1:2" ht="24.75" customHeight="1">
      <c r="A7" s="96" t="s">
        <v>949</v>
      </c>
      <c r="B7" s="726">
        <v>4</v>
      </c>
    </row>
    <row r="8" spans="1:2" ht="28.5" customHeight="1">
      <c r="A8" s="96" t="s">
        <v>950</v>
      </c>
      <c r="B8" s="726">
        <v>3</v>
      </c>
    </row>
    <row r="9" spans="1:2" ht="28.5" customHeight="1">
      <c r="A9" s="930" t="s">
        <v>623</v>
      </c>
      <c r="B9" s="730">
        <v>2</v>
      </c>
    </row>
    <row r="10" spans="1:2">
      <c r="A10" s="279" t="s">
        <v>951</v>
      </c>
    </row>
    <row r="13" spans="1:2">
      <c r="A13" s="16" t="s">
        <v>2254</v>
      </c>
    </row>
    <row r="15" spans="1:2" ht="24">
      <c r="A15" s="269" t="s">
        <v>952</v>
      </c>
      <c r="B15" s="646" t="s">
        <v>1124</v>
      </c>
    </row>
    <row r="17" spans="1:2">
      <c r="A17" s="135" t="s">
        <v>953</v>
      </c>
    </row>
    <row r="18" spans="1:2">
      <c r="A18" s="96" t="s">
        <v>2576</v>
      </c>
      <c r="B18" s="726">
        <v>3</v>
      </c>
    </row>
    <row r="19" spans="1:2">
      <c r="A19" s="931" t="s">
        <v>624</v>
      </c>
      <c r="B19" s="730">
        <v>31</v>
      </c>
    </row>
    <row r="20" spans="1:2">
      <c r="A20" s="931" t="s">
        <v>625</v>
      </c>
      <c r="B20" s="730">
        <v>5</v>
      </c>
    </row>
    <row r="23" spans="1:2">
      <c r="A23" s="16" t="s">
        <v>2255</v>
      </c>
    </row>
    <row r="25" spans="1:2" ht="36">
      <c r="A25" s="269" t="s">
        <v>2443</v>
      </c>
      <c r="B25" s="646" t="s">
        <v>1123</v>
      </c>
    </row>
    <row r="27" spans="1:2">
      <c r="A27" s="135" t="s">
        <v>953</v>
      </c>
    </row>
    <row r="28" spans="1:2" ht="24">
      <c r="A28" s="360" t="s">
        <v>2577</v>
      </c>
      <c r="B28" s="726">
        <v>0</v>
      </c>
    </row>
    <row r="31" spans="1:2" ht="13.5" thickBot="1"/>
    <row r="32" spans="1:2" ht="13.5" thickBot="1">
      <c r="A32" s="3074" t="s">
        <v>2066</v>
      </c>
      <c r="B32" s="3074"/>
    </row>
    <row r="34" spans="1:3">
      <c r="A34" s="2553" t="s">
        <v>954</v>
      </c>
      <c r="B34" s="3075"/>
    </row>
    <row r="35" spans="1:3" ht="25.5" customHeight="1">
      <c r="A35" s="3073" t="s">
        <v>2578</v>
      </c>
      <c r="B35" s="2966"/>
    </row>
    <row r="37" spans="1:3" ht="36" customHeight="1">
      <c r="B37" s="278" t="s">
        <v>2579</v>
      </c>
      <c r="C37" s="1229" t="s">
        <v>955</v>
      </c>
    </row>
    <row r="38" spans="1:3" ht="31.5" customHeight="1">
      <c r="A38" s="280" t="s">
        <v>956</v>
      </c>
      <c r="B38" s="726">
        <v>378</v>
      </c>
      <c r="C38" s="1215">
        <v>1</v>
      </c>
    </row>
    <row r="39" spans="1:3" ht="31.5" customHeight="1">
      <c r="A39" s="280" t="s">
        <v>957</v>
      </c>
      <c r="B39" s="726">
        <v>14</v>
      </c>
      <c r="C39" s="1215">
        <v>2</v>
      </c>
    </row>
    <row r="41" spans="1:3" ht="24">
      <c r="B41" s="278" t="s">
        <v>2580</v>
      </c>
    </row>
    <row r="42" spans="1:3" ht="38.25" customHeight="1">
      <c r="A42" s="1070" t="s">
        <v>1390</v>
      </c>
      <c r="B42" s="735">
        <v>14202</v>
      </c>
      <c r="C42" s="1215">
        <v>3</v>
      </c>
    </row>
    <row r="43" spans="1:3">
      <c r="A43" s="281" t="s">
        <v>2244</v>
      </c>
    </row>
    <row r="44" spans="1:3">
      <c r="A44" s="360" t="s">
        <v>2245</v>
      </c>
      <c r="B44" s="726">
        <v>25200</v>
      </c>
      <c r="C44" s="1215">
        <v>4</v>
      </c>
    </row>
    <row r="45" spans="1:3">
      <c r="A45" s="360" t="s">
        <v>2246</v>
      </c>
      <c r="B45" s="726">
        <v>15915</v>
      </c>
      <c r="C45" s="1215">
        <v>5</v>
      </c>
    </row>
    <row r="47" spans="1:3" ht="36" customHeight="1">
      <c r="B47" s="278" t="s">
        <v>2581</v>
      </c>
    </row>
    <row r="48" spans="1:3">
      <c r="A48" s="120" t="s">
        <v>1118</v>
      </c>
      <c r="B48" s="726">
        <v>0</v>
      </c>
      <c r="C48" s="1215">
        <v>6</v>
      </c>
    </row>
    <row r="51" spans="1:3" ht="13.5" thickBot="1"/>
    <row r="52" spans="1:3" ht="13.5" thickBot="1">
      <c r="A52" s="2749" t="s">
        <v>2067</v>
      </c>
      <c r="B52" s="2749"/>
      <c r="C52" s="2749"/>
    </row>
    <row r="54" spans="1:3" ht="18" customHeight="1">
      <c r="A54" s="1071" t="s">
        <v>2611</v>
      </c>
      <c r="B54" s="1072"/>
      <c r="C54" s="646" t="s">
        <v>1124</v>
      </c>
    </row>
    <row r="56" spans="1:3">
      <c r="A56" s="66" t="s">
        <v>575</v>
      </c>
    </row>
    <row r="58" spans="1:3" ht="41.25" customHeight="1">
      <c r="A58" s="99" t="s">
        <v>1119</v>
      </c>
      <c r="B58" s="980" t="s">
        <v>2444</v>
      </c>
      <c r="C58" s="1261" t="s">
        <v>1223</v>
      </c>
    </row>
    <row r="59" spans="1:3" ht="26.25" customHeight="1">
      <c r="A59" s="282" t="s">
        <v>617</v>
      </c>
      <c r="B59" s="833">
        <f>SUM(B60:B62)</f>
        <v>2656</v>
      </c>
      <c r="C59" s="1262" t="s">
        <v>697</v>
      </c>
    </row>
    <row r="60" spans="1:3" ht="29.25" customHeight="1">
      <c r="A60" s="283" t="s">
        <v>618</v>
      </c>
      <c r="B60" s="834">
        <v>2656</v>
      </c>
      <c r="C60" s="1227" t="s">
        <v>695</v>
      </c>
    </row>
    <row r="61" spans="1:3">
      <c r="A61" s="360" t="s">
        <v>1120</v>
      </c>
      <c r="B61" s="834"/>
      <c r="C61" s="1227" t="s">
        <v>179</v>
      </c>
    </row>
    <row r="62" spans="1:3">
      <c r="A62" s="360" t="s">
        <v>1121</v>
      </c>
      <c r="B62" s="834"/>
      <c r="C62" s="1227" t="s">
        <v>1224</v>
      </c>
    </row>
    <row r="64" spans="1:3">
      <c r="A64" s="932" t="s">
        <v>2303</v>
      </c>
    </row>
    <row r="65" spans="1:3" ht="25.5" customHeight="1">
      <c r="A65" s="3073" t="s">
        <v>1222</v>
      </c>
      <c r="B65" s="2424"/>
      <c r="C65" s="2424"/>
    </row>
  </sheetData>
  <sheetProtection algorithmName="SHA-512" hashValue="cwccFZFqINetnKVZX4JgwMBrCEwYOqM7kcX2F3tYbIb1ikzKXQogOdyhdzeToOUs31Nig1AjPiTzYvO7EMe9ZA==" saltValue="DRobRMRiB3EhfAw8W5sQzg==" spinCount="100000" sheet="1" objects="1" scenarios="1"/>
  <mergeCells count="6">
    <mergeCell ref="A65:C65"/>
    <mergeCell ref="A3:B3"/>
    <mergeCell ref="A32:B32"/>
    <mergeCell ref="A52:C52"/>
    <mergeCell ref="A35:B35"/>
    <mergeCell ref="A34:B34"/>
  </mergeCells>
  <dataValidations xWindow="43918" yWindow="39799" count="3">
    <dataValidation type="whole" allowBlank="1" showInputMessage="1" showErrorMessage="1" errorTitle="Erreur de saisie" error="Vous devez saisir une valeur entière" sqref="B7:B9 B18:B20 B28">
      <formula1>0</formula1>
      <formula2>999</formula2>
    </dataValidation>
    <dataValidation type="whole" allowBlank="1" showInputMessage="1" showErrorMessage="1" errorTitle="Erreur de saisie" error="Vous devez saisir une valeur entière" sqref="B8:B9 B38:B39 B42 B48 B60:B62 B44:B45">
      <formula1>0</formula1>
      <formula2>999999999999</formula2>
    </dataValidation>
    <dataValidation type="list" allowBlank="1" showInputMessage="1" showErrorMessage="1" errorTitle="Erreur de saisie" error="Vous devez saisir une valeur dans la liste" sqref="B15 B25 C54">
      <formula1>lstReponse</formula1>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66" firstPageNumber="0" orientation="portrait" r:id="rId1"/>
  <headerFooter alignWithMargins="0">
    <oddFooter>&amp;LRSU 2020 - Présentation au CTP&amp;R&amp;P/&amp;N
&amp;A</oddFooter>
  </headerFooter>
  <rowBreaks count="2" manualBreakCount="2">
    <brk id="30" max="16383" man="1"/>
    <brk id="50" max="16383" man="1"/>
  </rowBreaks>
</worksheet>
</file>

<file path=xl/worksheets/sheet82.xml><?xml version="1.0" encoding="utf-8"?>
<worksheet xmlns="http://schemas.openxmlformats.org/spreadsheetml/2006/main" xmlns:r="http://schemas.openxmlformats.org/officeDocument/2006/relationships">
  <sheetPr codeName="Feuil74">
    <pageSetUpPr fitToPage="1"/>
  </sheetPr>
  <dimension ref="A1:D26"/>
  <sheetViews>
    <sheetView showGridLines="0" zoomScaleNormal="85" workbookViewId="0"/>
  </sheetViews>
  <sheetFormatPr baseColWidth="10" defaultColWidth="10.7109375" defaultRowHeight="12.75" customHeight="1"/>
  <cols>
    <col min="1" max="1" width="41.7109375" customWidth="1"/>
    <col min="2" max="2" width="23.42578125" customWidth="1"/>
    <col min="3" max="3" width="21" customWidth="1"/>
    <col min="4" max="4" width="17.42578125" customWidth="1"/>
    <col min="5" max="19" width="10.7109375" customWidth="1"/>
  </cols>
  <sheetData>
    <row r="1" spans="1:4">
      <c r="A1" s="1097"/>
      <c r="B1" s="2245" t="s">
        <v>958</v>
      </c>
      <c r="C1" s="2245"/>
      <c r="D1" s="1097"/>
    </row>
    <row r="4" spans="1:4" ht="13.5" thickBot="1">
      <c r="A4" s="2386" t="s">
        <v>1378</v>
      </c>
      <c r="B4" s="2386"/>
      <c r="C4" s="2386"/>
      <c r="D4" s="2386"/>
    </row>
    <row r="6" spans="1:4" ht="12.75" customHeight="1">
      <c r="A6" s="3083" t="s">
        <v>2582</v>
      </c>
      <c r="B6" s="3083"/>
      <c r="C6" s="3083"/>
      <c r="D6" s="3083"/>
    </row>
    <row r="7" spans="1:4" ht="24.75" customHeight="1">
      <c r="A7" s="3083"/>
      <c r="B7" s="3083"/>
      <c r="C7" s="3083"/>
      <c r="D7" s="3083"/>
    </row>
    <row r="8" spans="1:4" ht="25.5" customHeight="1">
      <c r="A8" s="3084" t="s">
        <v>1849</v>
      </c>
      <c r="B8" s="3084"/>
      <c r="C8" s="3084"/>
      <c r="D8" s="3084"/>
    </row>
    <row r="11" spans="1:4">
      <c r="A11" s="1152" t="s">
        <v>1719</v>
      </c>
      <c r="B11" s="1098"/>
      <c r="C11" s="1098"/>
      <c r="D11" s="1098"/>
    </row>
    <row r="13" spans="1:4" ht="25.5" customHeight="1">
      <c r="A13" s="3081" t="s">
        <v>2612</v>
      </c>
      <c r="B13" s="3081"/>
      <c r="C13" s="3081"/>
      <c r="D13" s="3081"/>
    </row>
    <row r="15" spans="1:4" ht="25.5" customHeight="1">
      <c r="A15" s="3082" t="s">
        <v>2305</v>
      </c>
      <c r="B15" s="3078"/>
      <c r="C15" s="3078"/>
      <c r="D15" s="3078"/>
    </row>
    <row r="16" spans="1:4" ht="38.25" customHeight="1">
      <c r="A16" s="3078" t="s">
        <v>2284</v>
      </c>
      <c r="B16" s="3078"/>
      <c r="C16" s="3078"/>
      <c r="D16" s="3078"/>
    </row>
    <row r="17" spans="1:4" ht="25.5" customHeight="1">
      <c r="A17" s="3078" t="s">
        <v>2285</v>
      </c>
      <c r="B17" s="3078"/>
      <c r="C17" s="3078"/>
      <c r="D17" s="3078"/>
    </row>
    <row r="20" spans="1:4" ht="12.75" customHeight="1">
      <c r="A20" s="3079" t="s">
        <v>2286</v>
      </c>
      <c r="B20" s="3079"/>
      <c r="C20" s="3079"/>
      <c r="D20" s="3079"/>
    </row>
    <row r="22" spans="1:4" ht="24.75" customHeight="1">
      <c r="A22" s="3080" t="s">
        <v>2583</v>
      </c>
      <c r="B22" s="3080"/>
      <c r="C22" s="3080"/>
      <c r="D22" s="3080"/>
    </row>
    <row r="23" spans="1:4" ht="12.75" customHeight="1">
      <c r="A23" s="1153"/>
      <c r="B23" s="1153"/>
      <c r="C23" s="1153"/>
      <c r="D23" s="1153"/>
    </row>
    <row r="24" spans="1:4" ht="12.75" customHeight="1">
      <c r="A24" s="3076" t="s">
        <v>2287</v>
      </c>
      <c r="B24" s="3076"/>
      <c r="C24" s="3076"/>
      <c r="D24" s="3076"/>
    </row>
    <row r="25" spans="1:4" ht="12.75" customHeight="1">
      <c r="A25" s="3076" t="s">
        <v>2288</v>
      </c>
      <c r="B25" s="3076"/>
      <c r="C25" s="3076"/>
      <c r="D25" s="3076"/>
    </row>
    <row r="26" spans="1:4" ht="12.75" customHeight="1">
      <c r="A26" s="3077" t="s">
        <v>2289</v>
      </c>
      <c r="B26" s="3077"/>
      <c r="C26" s="3077"/>
      <c r="D26" s="3077"/>
    </row>
  </sheetData>
  <sheetProtection algorithmName="SHA-512" hashValue="1dopOKlrrAYEoDnRMlHWAD+g+JkanylNPPgrYe02GPtXLI/Mer3Okif1xTq1Z33nCAUptZOWoKtEdc+EcRfxjg==" saltValue="bN4oMBKHQK2hZmnH+wkTqQ==" spinCount="100000" sheet="1" objects="1" scenarios="1"/>
  <mergeCells count="13">
    <mergeCell ref="A13:D13"/>
    <mergeCell ref="A15:D15"/>
    <mergeCell ref="B1:C1"/>
    <mergeCell ref="A4:D4"/>
    <mergeCell ref="A6:D7"/>
    <mergeCell ref="A8:D8"/>
    <mergeCell ref="A25:D25"/>
    <mergeCell ref="A26:D26"/>
    <mergeCell ref="A16:D16"/>
    <mergeCell ref="A17:D17"/>
    <mergeCell ref="A20:D20"/>
    <mergeCell ref="A22:D22"/>
    <mergeCell ref="A24:D24"/>
  </mergeCell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86" firstPageNumber="0" orientation="portrait" r:id="rId1"/>
  <headerFooter alignWithMargins="0">
    <oddFooter>&amp;LRSU 2020 - Présentation au CTP&amp;R&amp;P/&amp;N
&amp;A</oddFooter>
  </headerFooter>
</worksheet>
</file>

<file path=xl/worksheets/sheet83.xml><?xml version="1.0" encoding="utf-8"?>
<worksheet xmlns="http://schemas.openxmlformats.org/spreadsheetml/2006/main" xmlns:r="http://schemas.openxmlformats.org/officeDocument/2006/relationships">
  <sheetPr codeName="Feuil751">
    <pageSetUpPr fitToPage="1"/>
  </sheetPr>
  <dimension ref="A1:D56"/>
  <sheetViews>
    <sheetView showGridLines="0" topLeftCell="A22" zoomScaleNormal="100" workbookViewId="0"/>
  </sheetViews>
  <sheetFormatPr baseColWidth="10" defaultColWidth="10.85546875" defaultRowHeight="12.75" customHeight="1"/>
  <cols>
    <col min="1" max="1" width="58.140625" customWidth="1"/>
    <col min="2" max="3" width="60.7109375" customWidth="1"/>
  </cols>
  <sheetData>
    <row r="1" spans="1:4" ht="17.100000000000001" customHeight="1">
      <c r="B1" s="1073" t="s">
        <v>958</v>
      </c>
    </row>
    <row r="3" spans="1:4" ht="13.5" thickBot="1"/>
    <row r="4" spans="1:4" ht="13.5" thickBot="1">
      <c r="A4" s="2678" t="s">
        <v>2257</v>
      </c>
      <c r="B4" s="2678"/>
      <c r="C4" s="2464"/>
    </row>
    <row r="6" spans="1:4" ht="25.5" customHeight="1">
      <c r="A6" s="2636" t="s">
        <v>2584</v>
      </c>
      <c r="B6" s="2636"/>
      <c r="C6" s="3094"/>
    </row>
    <row r="7" spans="1:4" ht="12.75" customHeight="1">
      <c r="A7" s="3093" t="s">
        <v>1115</v>
      </c>
      <c r="B7" s="2378"/>
      <c r="C7" s="1183"/>
    </row>
    <row r="8" spans="1:4">
      <c r="B8" s="1224">
        <v>1</v>
      </c>
      <c r="C8" s="1224">
        <v>2</v>
      </c>
      <c r="D8" s="1235" t="s">
        <v>1307</v>
      </c>
    </row>
    <row r="9" spans="1:4">
      <c r="A9" s="3087" t="s">
        <v>1043</v>
      </c>
      <c r="B9" s="3090" t="s">
        <v>2445</v>
      </c>
      <c r="C9" s="3091"/>
    </row>
    <row r="10" spans="1:4">
      <c r="A10" s="3088"/>
      <c r="B10" s="933" t="s">
        <v>707</v>
      </c>
      <c r="C10" s="933" t="s">
        <v>708</v>
      </c>
      <c r="D10" s="1235" t="s">
        <v>1225</v>
      </c>
    </row>
    <row r="11" spans="1:4">
      <c r="A11" s="1184" t="s">
        <v>2186</v>
      </c>
      <c r="B11" s="736">
        <f>SUM(B12:B14)</f>
        <v>18</v>
      </c>
      <c r="C11" s="736">
        <f>SUM(C12:C14)</f>
        <v>8</v>
      </c>
      <c r="D11" s="1248" t="s">
        <v>697</v>
      </c>
    </row>
    <row r="12" spans="1:4">
      <c r="A12" s="1185" t="s">
        <v>2258</v>
      </c>
      <c r="B12" s="737">
        <v>12</v>
      </c>
      <c r="C12" s="737">
        <v>4</v>
      </c>
      <c r="D12" s="1248" t="s">
        <v>695</v>
      </c>
    </row>
    <row r="13" spans="1:4">
      <c r="A13" s="1185" t="s">
        <v>2259</v>
      </c>
      <c r="B13" s="737">
        <v>2</v>
      </c>
      <c r="C13" s="737">
        <v>4</v>
      </c>
      <c r="D13" s="1248" t="s">
        <v>179</v>
      </c>
    </row>
    <row r="14" spans="1:4">
      <c r="A14" s="1185" t="s">
        <v>2187</v>
      </c>
      <c r="B14" s="737">
        <v>4</v>
      </c>
      <c r="C14" s="737">
        <v>0</v>
      </c>
      <c r="D14" s="1248" t="s">
        <v>181</v>
      </c>
    </row>
    <row r="15" spans="1:4">
      <c r="A15" s="1184" t="s">
        <v>1144</v>
      </c>
      <c r="B15" s="736">
        <f>SUM(B16:B18)</f>
        <v>0</v>
      </c>
      <c r="C15" s="736">
        <f>SUM(C16:C18)</f>
        <v>0</v>
      </c>
      <c r="D15" s="1248" t="s">
        <v>1912</v>
      </c>
    </row>
    <row r="16" spans="1:4">
      <c r="A16" t="s">
        <v>765</v>
      </c>
      <c r="B16" s="737"/>
      <c r="C16" s="737"/>
      <c r="D16" s="1248" t="s">
        <v>211</v>
      </c>
    </row>
    <row r="17" spans="1:4">
      <c r="A17" s="1185" t="s">
        <v>2188</v>
      </c>
      <c r="B17" s="737"/>
      <c r="C17" s="737"/>
      <c r="D17" s="1248" t="s">
        <v>982</v>
      </c>
    </row>
    <row r="18" spans="1:4">
      <c r="A18" s="1185" t="s">
        <v>1139</v>
      </c>
      <c r="B18" s="737"/>
      <c r="C18" s="737"/>
      <c r="D18" s="1248" t="s">
        <v>2100</v>
      </c>
    </row>
    <row r="19" spans="1:4">
      <c r="A19" s="1184" t="s">
        <v>1145</v>
      </c>
      <c r="B19" s="736">
        <f>SUM(B20:B21)</f>
        <v>0</v>
      </c>
      <c r="C19" s="736">
        <f>SUM(C20:C21)</f>
        <v>0</v>
      </c>
      <c r="D19" s="1248" t="s">
        <v>1226</v>
      </c>
    </row>
    <row r="20" spans="1:4">
      <c r="A20" s="1185" t="s">
        <v>1140</v>
      </c>
      <c r="B20" s="737"/>
      <c r="C20" s="737"/>
      <c r="D20" s="1248" t="s">
        <v>1227</v>
      </c>
    </row>
    <row r="21" spans="1:4">
      <c r="A21" s="1185" t="s">
        <v>1141</v>
      </c>
      <c r="B21" s="737"/>
      <c r="C21" s="737"/>
      <c r="D21" s="1248" t="s">
        <v>2266</v>
      </c>
    </row>
    <row r="22" spans="1:4">
      <c r="A22" s="1184" t="s">
        <v>1146</v>
      </c>
      <c r="B22" s="736">
        <f>SUM(B23:B24)</f>
        <v>0</v>
      </c>
      <c r="C22" s="736">
        <f>SUM(C23:C24)</f>
        <v>0</v>
      </c>
      <c r="D22" s="1248" t="s">
        <v>1228</v>
      </c>
    </row>
    <row r="23" spans="1:4">
      <c r="A23" s="1185" t="s">
        <v>1142</v>
      </c>
      <c r="B23" s="737"/>
      <c r="C23" s="737"/>
      <c r="D23" s="1248" t="s">
        <v>2024</v>
      </c>
    </row>
    <row r="24" spans="1:4">
      <c r="A24" s="1185" t="s">
        <v>1143</v>
      </c>
      <c r="B24" s="737"/>
      <c r="C24" s="737"/>
      <c r="D24" s="1248" t="s">
        <v>1229</v>
      </c>
    </row>
    <row r="26" spans="1:4" ht="15" customHeight="1"/>
    <row r="27" spans="1:4">
      <c r="A27" s="3087" t="s">
        <v>212</v>
      </c>
      <c r="B27" s="3090" t="s">
        <v>2446</v>
      </c>
      <c r="C27" s="3091"/>
    </row>
    <row r="28" spans="1:4">
      <c r="A28" s="3089"/>
      <c r="B28" s="1186" t="s">
        <v>707</v>
      </c>
      <c r="C28" s="1186" t="s">
        <v>708</v>
      </c>
      <c r="D28" s="1235" t="s">
        <v>213</v>
      </c>
    </row>
    <row r="29" spans="1:4">
      <c r="A29" s="1185" t="s">
        <v>2258</v>
      </c>
      <c r="B29" s="737"/>
      <c r="C29" s="737"/>
      <c r="D29" s="1235">
        <v>1</v>
      </c>
    </row>
    <row r="30" spans="1:4">
      <c r="A30" s="1185" t="s">
        <v>2259</v>
      </c>
      <c r="B30" s="737"/>
      <c r="C30" s="737"/>
      <c r="D30" s="1235">
        <v>2</v>
      </c>
    </row>
    <row r="31" spans="1:4">
      <c r="A31" s="1185" t="s">
        <v>2187</v>
      </c>
      <c r="B31" s="737"/>
      <c r="C31" s="737"/>
      <c r="D31" s="1235">
        <v>3</v>
      </c>
    </row>
    <row r="32" spans="1:4">
      <c r="A32" s="1185" t="s">
        <v>1139</v>
      </c>
      <c r="B32" s="737"/>
      <c r="C32" s="737"/>
      <c r="D32" s="1235">
        <v>4</v>
      </c>
    </row>
    <row r="33" spans="1:4">
      <c r="A33" s="1185" t="s">
        <v>214</v>
      </c>
      <c r="B33" s="737"/>
      <c r="C33" s="737"/>
      <c r="D33" s="1235">
        <v>6</v>
      </c>
    </row>
    <row r="34" spans="1:4" ht="15" customHeight="1"/>
    <row r="35" spans="1:4" ht="15.75" customHeight="1"/>
    <row r="36" spans="1:4">
      <c r="A36" s="3087" t="s">
        <v>2251</v>
      </c>
      <c r="B36" s="3090" t="s">
        <v>2447</v>
      </c>
      <c r="C36" s="3091"/>
    </row>
    <row r="37" spans="1:4">
      <c r="A37" s="3088"/>
      <c r="B37" s="1186" t="s">
        <v>707</v>
      </c>
      <c r="C37" s="1186" t="s">
        <v>708</v>
      </c>
      <c r="D37" s="1235" t="s">
        <v>213</v>
      </c>
    </row>
    <row r="38" spans="1:4">
      <c r="A38" s="1185" t="s">
        <v>215</v>
      </c>
      <c r="B38" s="737"/>
      <c r="C38" s="737"/>
      <c r="D38" s="1235">
        <v>1</v>
      </c>
    </row>
    <row r="39" spans="1:4">
      <c r="A39" s="1185" t="s">
        <v>2259</v>
      </c>
      <c r="B39" s="737"/>
      <c r="C39" s="737"/>
      <c r="D39" s="1235">
        <v>2</v>
      </c>
    </row>
    <row r="40" spans="1:4">
      <c r="A40" s="1185" t="s">
        <v>216</v>
      </c>
      <c r="B40" s="737"/>
      <c r="C40" s="737"/>
      <c r="D40" s="1235">
        <v>5</v>
      </c>
    </row>
    <row r="41" spans="1:4">
      <c r="A41" s="1185" t="s">
        <v>217</v>
      </c>
      <c r="B41" s="737"/>
      <c r="C41" s="737"/>
      <c r="D41" s="1235">
        <v>7</v>
      </c>
    </row>
    <row r="44" spans="1:4">
      <c r="A44" s="3085" t="s">
        <v>1462</v>
      </c>
      <c r="B44" s="3090" t="s">
        <v>2448</v>
      </c>
      <c r="C44" s="3092"/>
    </row>
    <row r="45" spans="1:4">
      <c r="A45" s="3086"/>
      <c r="B45" s="1186" t="s">
        <v>707</v>
      </c>
      <c r="C45" s="1186" t="s">
        <v>708</v>
      </c>
      <c r="D45" s="1235" t="s">
        <v>1364</v>
      </c>
    </row>
    <row r="46" spans="1:4" ht="24">
      <c r="A46" s="1187" t="s">
        <v>218</v>
      </c>
      <c r="B46" s="737">
        <v>3</v>
      </c>
      <c r="C46" s="737">
        <v>0</v>
      </c>
      <c r="D46" s="1248" t="s">
        <v>695</v>
      </c>
    </row>
    <row r="47" spans="1:4" ht="24">
      <c r="A47" s="1187" t="s">
        <v>644</v>
      </c>
      <c r="B47" s="737">
        <v>12</v>
      </c>
      <c r="C47" s="737">
        <v>8</v>
      </c>
      <c r="D47" s="1248" t="s">
        <v>179</v>
      </c>
    </row>
    <row r="48" spans="1:4" ht="24">
      <c r="A48" s="1187" t="s">
        <v>645</v>
      </c>
      <c r="B48" s="737"/>
      <c r="C48" s="737"/>
      <c r="D48" s="1248" t="s">
        <v>181</v>
      </c>
    </row>
    <row r="49" spans="1:4">
      <c r="A49" s="1187" t="s">
        <v>646</v>
      </c>
      <c r="B49" s="737"/>
      <c r="C49" s="737"/>
      <c r="D49" s="1248" t="s">
        <v>183</v>
      </c>
    </row>
    <row r="50" spans="1:4">
      <c r="A50" s="1187" t="s">
        <v>647</v>
      </c>
      <c r="B50" s="737"/>
      <c r="C50" s="737"/>
      <c r="D50" s="1248" t="s">
        <v>184</v>
      </c>
    </row>
    <row r="51" spans="1:4">
      <c r="A51" s="1187" t="s">
        <v>648</v>
      </c>
      <c r="B51" s="737">
        <v>1</v>
      </c>
      <c r="C51" s="737">
        <v>0</v>
      </c>
      <c r="D51" s="1248" t="s">
        <v>2027</v>
      </c>
    </row>
    <row r="52" spans="1:4" ht="24">
      <c r="A52" s="1187" t="s">
        <v>1458</v>
      </c>
      <c r="B52" s="737">
        <v>5</v>
      </c>
      <c r="C52" s="737">
        <v>1</v>
      </c>
      <c r="D52" s="1248" t="s">
        <v>185</v>
      </c>
    </row>
    <row r="53" spans="1:4">
      <c r="A53" s="1187" t="s">
        <v>1459</v>
      </c>
      <c r="B53" s="737"/>
      <c r="C53" s="737"/>
      <c r="D53" s="1248" t="s">
        <v>1749</v>
      </c>
    </row>
    <row r="54" spans="1:4">
      <c r="A54" s="1187" t="s">
        <v>1460</v>
      </c>
      <c r="B54" s="737"/>
      <c r="C54" s="737"/>
      <c r="D54" s="1248" t="s">
        <v>186</v>
      </c>
    </row>
    <row r="55" spans="1:4" ht="27" customHeight="1">
      <c r="A55" s="1187" t="s">
        <v>1461</v>
      </c>
      <c r="B55" s="737">
        <v>1</v>
      </c>
      <c r="C55" s="737">
        <v>2</v>
      </c>
      <c r="D55" s="1248" t="s">
        <v>1912</v>
      </c>
    </row>
    <row r="56" spans="1:4">
      <c r="A56" s="1185" t="s">
        <v>706</v>
      </c>
      <c r="B56" s="737"/>
      <c r="C56" s="737"/>
      <c r="D56" s="1248" t="s">
        <v>982</v>
      </c>
    </row>
  </sheetData>
  <sheetProtection algorithmName="SHA-512" hashValue="tuKyDcXyRuvexoZtNlbBEBR9nsXcvfzopyDlpVgja05IFi6AQdvvmMozJaLHiR6ykArgOEz2MIfqzm3+stziiw==" saltValue="s2eNEMwl8se3nGbc/cZHAQ==" spinCount="100000" sheet="1" objects="1" scenarios="1"/>
  <mergeCells count="11">
    <mergeCell ref="A4:C4"/>
    <mergeCell ref="B36:C36"/>
    <mergeCell ref="B9:C9"/>
    <mergeCell ref="A9:A10"/>
    <mergeCell ref="A7:B7"/>
    <mergeCell ref="A6:C6"/>
    <mergeCell ref="A44:A45"/>
    <mergeCell ref="A36:A37"/>
    <mergeCell ref="A27:A28"/>
    <mergeCell ref="B27:C27"/>
    <mergeCell ref="B44:C44"/>
  </mergeCells>
  <dataValidations count="1">
    <dataValidation type="whole" allowBlank="1" showInputMessage="1" showErrorMessage="1" errorTitle="Erreur de saisie" error="Vous devez saisir une valeur entière" sqref="B12:C14 B16:C18 B20:C21 B23:C24 B29:C33 B38:C41 B46:C56">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50" orientation="portrait" r:id="rId1"/>
  <headerFooter alignWithMargins="0">
    <oddFooter>&amp;LRSU 2020 - Présentation au CTP&amp;R&amp;P/&amp;N
&amp;A</oddFooter>
  </headerFooter>
  <colBreaks count="1" manualBreakCount="1">
    <brk id="2" max="1048575" man="1"/>
  </colBreaks>
</worksheet>
</file>

<file path=xl/worksheets/sheet84.xml><?xml version="1.0" encoding="utf-8"?>
<worksheet xmlns="http://schemas.openxmlformats.org/spreadsheetml/2006/main" xmlns:r="http://schemas.openxmlformats.org/officeDocument/2006/relationships">
  <sheetPr codeName="Feuil76">
    <pageSetUpPr fitToPage="1"/>
  </sheetPr>
  <dimension ref="A1:J30"/>
  <sheetViews>
    <sheetView showGridLines="0" zoomScaleNormal="85" workbookViewId="0"/>
  </sheetViews>
  <sheetFormatPr baseColWidth="10" defaultColWidth="10.85546875" defaultRowHeight="12.75" customHeight="1"/>
  <sheetData>
    <row r="1" spans="1:10">
      <c r="A1" s="1093"/>
      <c r="B1" s="1093"/>
      <c r="C1" s="1093"/>
      <c r="D1" s="1093"/>
      <c r="E1" s="2245" t="s">
        <v>958</v>
      </c>
      <c r="F1" s="2245"/>
      <c r="G1" s="1093"/>
      <c r="H1" s="1093"/>
      <c r="I1" s="1093"/>
      <c r="J1" s="1093"/>
    </row>
    <row r="2" spans="1:10" ht="13.5" thickBot="1"/>
    <row r="3" spans="1:10" ht="13.5" thickBot="1">
      <c r="A3" s="2386" t="s">
        <v>2290</v>
      </c>
      <c r="B3" s="2386"/>
      <c r="C3" s="2386"/>
      <c r="D3" s="2386"/>
      <c r="E3" s="2386"/>
      <c r="F3" s="2386"/>
      <c r="G3" s="2386"/>
      <c r="H3" s="2386"/>
      <c r="I3" s="2386"/>
      <c r="J3" s="2386"/>
    </row>
    <row r="5" spans="1:10">
      <c r="A5" s="1154" t="s">
        <v>454</v>
      </c>
      <c r="B5" s="1097"/>
      <c r="C5" s="1097"/>
      <c r="D5" s="1097"/>
      <c r="E5" s="1097"/>
      <c r="F5" s="1097"/>
      <c r="G5" s="1097"/>
      <c r="H5" s="1097"/>
      <c r="I5" s="1097"/>
      <c r="J5" s="1097"/>
    </row>
    <row r="7" spans="1:10" ht="29.25" customHeight="1">
      <c r="A7" s="3095" t="s">
        <v>2292</v>
      </c>
      <c r="B7" s="3095"/>
      <c r="C7" s="3095"/>
      <c r="D7" s="3095"/>
      <c r="E7" s="3095"/>
      <c r="F7" s="3095"/>
      <c r="G7" s="3095"/>
      <c r="H7" s="3095"/>
      <c r="I7" s="3095"/>
      <c r="J7" s="3095"/>
    </row>
    <row r="8" spans="1:10">
      <c r="A8" s="1097"/>
      <c r="B8" s="1097"/>
      <c r="C8" s="1097"/>
      <c r="D8" s="1097"/>
      <c r="E8" s="1097"/>
      <c r="F8" s="1097"/>
      <c r="G8" s="1097"/>
      <c r="H8" s="1097"/>
      <c r="I8" s="1097"/>
      <c r="J8" s="1097"/>
    </row>
    <row r="10" spans="1:10">
      <c r="A10" s="1093" t="s">
        <v>131</v>
      </c>
      <c r="B10" s="1097"/>
      <c r="C10" s="1097"/>
      <c r="D10" s="1097"/>
      <c r="E10" s="1097"/>
      <c r="F10" s="1097"/>
      <c r="G10" s="1097"/>
      <c r="H10" s="1097"/>
      <c r="I10" s="1097"/>
      <c r="J10" s="1097"/>
    </row>
    <row r="12" spans="1:10">
      <c r="A12" s="1154" t="s">
        <v>455</v>
      </c>
      <c r="B12" s="1097"/>
      <c r="C12" s="1097"/>
      <c r="D12" s="1097"/>
      <c r="E12" s="1097"/>
      <c r="F12" s="1097"/>
      <c r="G12" s="1097"/>
      <c r="H12" s="1097"/>
      <c r="I12" s="1097"/>
      <c r="J12" s="1097"/>
    </row>
    <row r="14" spans="1:10">
      <c r="A14" s="1093" t="s">
        <v>132</v>
      </c>
      <c r="B14" s="1097"/>
      <c r="C14" s="1097"/>
      <c r="D14" s="1097"/>
      <c r="E14" s="1097"/>
      <c r="F14" s="1097"/>
      <c r="G14" s="1097"/>
      <c r="H14" s="1097"/>
      <c r="I14" s="1097"/>
      <c r="J14" s="1097"/>
    </row>
    <row r="15" spans="1:10" ht="18" customHeight="1">
      <c r="A15" s="2559" t="s">
        <v>2293</v>
      </c>
      <c r="B15" s="2559"/>
      <c r="C15" s="2559"/>
      <c r="D15" s="2559"/>
      <c r="E15" s="2559"/>
      <c r="F15" s="2559"/>
      <c r="G15" s="2559"/>
      <c r="H15" s="2559"/>
      <c r="I15" s="2559"/>
      <c r="J15" s="2559"/>
    </row>
    <row r="17" spans="1:10">
      <c r="A17" s="1154" t="s">
        <v>2291</v>
      </c>
      <c r="B17" s="1097"/>
      <c r="C17" s="1097"/>
      <c r="D17" s="1097"/>
      <c r="E17" s="1097"/>
      <c r="F17" s="1097"/>
      <c r="G17" s="1097"/>
      <c r="H17" s="1097"/>
      <c r="I17" s="1097"/>
      <c r="J17" s="1097"/>
    </row>
    <row r="18" spans="1:10" ht="54" customHeight="1">
      <c r="A18" s="3096" t="s">
        <v>2307</v>
      </c>
      <c r="B18" s="3096"/>
      <c r="C18" s="3096"/>
      <c r="D18" s="3096"/>
      <c r="E18" s="3096"/>
      <c r="F18" s="3096"/>
      <c r="G18" s="3096"/>
      <c r="H18" s="3096"/>
      <c r="I18" s="3096"/>
      <c r="J18" s="3096"/>
    </row>
    <row r="19" spans="1:10" ht="44.25" customHeight="1">
      <c r="A19" s="3096" t="s">
        <v>764</v>
      </c>
      <c r="B19" s="2600"/>
      <c r="C19" s="2600"/>
      <c r="D19" s="2600"/>
      <c r="E19" s="2600"/>
      <c r="F19" s="2600"/>
      <c r="G19" s="2600"/>
      <c r="H19" s="2600"/>
      <c r="I19" s="2600"/>
      <c r="J19" s="2600"/>
    </row>
    <row r="21" spans="1:10" ht="12.75" customHeight="1">
      <c r="A21" s="3098" t="s">
        <v>456</v>
      </c>
      <c r="B21" s="3098"/>
      <c r="C21" s="3098"/>
      <c r="D21" s="3098"/>
      <c r="E21" s="3098"/>
      <c r="F21" s="3098"/>
      <c r="G21" s="3098"/>
      <c r="H21" s="3098"/>
      <c r="I21" s="3098"/>
      <c r="J21" s="3098"/>
    </row>
    <row r="23" spans="1:10" ht="12.75" customHeight="1">
      <c r="A23" s="2831" t="s">
        <v>115</v>
      </c>
      <c r="B23" s="2831"/>
      <c r="C23" s="2831"/>
      <c r="D23" s="2831"/>
      <c r="E23" s="2831"/>
      <c r="F23" s="2831"/>
      <c r="G23" s="2831"/>
      <c r="H23" s="2831"/>
      <c r="I23" s="2831"/>
      <c r="J23" s="2424"/>
    </row>
    <row r="24" spans="1:10" ht="44.25" customHeight="1">
      <c r="A24" s="2831"/>
      <c r="B24" s="2831"/>
      <c r="C24" s="2831"/>
      <c r="D24" s="2831"/>
      <c r="E24" s="2831"/>
      <c r="F24" s="2831"/>
      <c r="G24" s="2831"/>
      <c r="H24" s="2831"/>
      <c r="I24" s="2831"/>
      <c r="J24" s="2424"/>
    </row>
    <row r="25" spans="1:10" ht="12.75" hidden="1" customHeight="1">
      <c r="A25" s="2831"/>
      <c r="B25" s="2831"/>
      <c r="C25" s="2831"/>
      <c r="D25" s="2831"/>
      <c r="E25" s="2831"/>
      <c r="F25" s="2831"/>
      <c r="G25" s="2831"/>
      <c r="H25" s="2831"/>
      <c r="I25" s="2831"/>
      <c r="J25" s="2424"/>
    </row>
    <row r="26" spans="1:10" ht="12.75" hidden="1" customHeight="1">
      <c r="A26" s="2831"/>
      <c r="B26" s="2831"/>
      <c r="C26" s="2831"/>
      <c r="D26" s="2831"/>
      <c r="E26" s="2831"/>
      <c r="F26" s="2831"/>
      <c r="G26" s="2831"/>
      <c r="H26" s="2831"/>
      <c r="I26" s="2831"/>
      <c r="J26" s="2424"/>
    </row>
    <row r="28" spans="1:10">
      <c r="A28" s="1154" t="s">
        <v>2256</v>
      </c>
      <c r="B28" s="1097"/>
      <c r="C28" s="1097"/>
      <c r="D28" s="1097"/>
      <c r="E28" s="1097"/>
      <c r="F28" s="1097"/>
      <c r="G28" s="1097"/>
      <c r="H28" s="1097"/>
      <c r="I28" s="1097"/>
      <c r="J28" s="1097"/>
    </row>
    <row r="30" spans="1:10" ht="68.25" customHeight="1">
      <c r="A30" s="3097" t="s">
        <v>1377</v>
      </c>
      <c r="B30" s="3097"/>
      <c r="C30" s="3097"/>
      <c r="D30" s="3097"/>
      <c r="E30" s="3097"/>
      <c r="F30" s="3097"/>
      <c r="G30" s="3097"/>
      <c r="H30" s="3097"/>
      <c r="I30" s="3097"/>
      <c r="J30" s="2424"/>
    </row>
  </sheetData>
  <sheetProtection algorithmName="SHA-512" hashValue="HVGos78WDXnQxntUDW8T4Rf4djnORRbRDB3X/DZsqWDt3CfIiqDclKQWXCFQoI1V/xScke8z5OYQy567O1MMeA==" saltValue="F94ek3fwBgvd0EeHIjIE/g==" spinCount="100000" sheet="1" objects="1" scenarios="1"/>
  <mergeCells count="9">
    <mergeCell ref="E1:F1"/>
    <mergeCell ref="A7:J7"/>
    <mergeCell ref="A18:J18"/>
    <mergeCell ref="A19:J19"/>
    <mergeCell ref="A30:J30"/>
    <mergeCell ref="A3:J3"/>
    <mergeCell ref="A15:J15"/>
    <mergeCell ref="A21:J21"/>
    <mergeCell ref="A23:J26"/>
  </mergeCells>
  <hyperlinks>
    <hyperlink ref="E1" location="Sommaire!A1" display="Retour Sommaire"/>
  </hyperlinks>
  <printOptions horizontalCentered="1"/>
  <pageMargins left="0.59055118110236227" right="0.59055118110236227" top="0.59055118110236227" bottom="0.59055118110236227" header="0.51181102362204722" footer="0.27559055118110237"/>
  <pageSetup paperSize="9" scale="85" firstPageNumber="0" orientation="portrait" r:id="rId1"/>
  <headerFooter alignWithMargins="0">
    <oddFooter>&amp;LRSU 2020 - Présentation au CTP&amp;R&amp;P/&amp;N
&amp;A</oddFooter>
  </headerFooter>
</worksheet>
</file>

<file path=xl/worksheets/sheet85.xml><?xml version="1.0" encoding="utf-8"?>
<worksheet xmlns="http://schemas.openxmlformats.org/spreadsheetml/2006/main" xmlns:r="http://schemas.openxmlformats.org/officeDocument/2006/relationships">
  <sheetPr codeName="Feuil77">
    <pageSetUpPr fitToPage="1"/>
  </sheetPr>
  <dimension ref="A1:T48"/>
  <sheetViews>
    <sheetView showGridLines="0" topLeftCell="A16" zoomScaleNormal="100" workbookViewId="0">
      <selection activeCell="C47" sqref="C47"/>
    </sheetView>
  </sheetViews>
  <sheetFormatPr baseColWidth="10" defaultColWidth="10.85546875" defaultRowHeight="12.75" customHeight="1"/>
  <cols>
    <col min="1" max="1" width="51.85546875" style="1" customWidth="1"/>
    <col min="2" max="3" width="28.140625" style="1" customWidth="1"/>
    <col min="4" max="5" width="10.85546875" style="1"/>
    <col min="6" max="6" width="10.85546875" style="1" customWidth="1"/>
    <col min="7" max="16384" width="10.85546875" style="1"/>
  </cols>
  <sheetData>
    <row r="1" spans="1:20" ht="17.100000000000001" customHeight="1">
      <c r="A1"/>
      <c r="B1" s="1073" t="s">
        <v>958</v>
      </c>
      <c r="C1"/>
      <c r="D1"/>
      <c r="E1"/>
      <c r="F1"/>
      <c r="G1"/>
      <c r="H1"/>
      <c r="I1"/>
      <c r="J1"/>
      <c r="K1"/>
      <c r="L1"/>
      <c r="M1"/>
      <c r="N1"/>
      <c r="O1"/>
      <c r="P1"/>
      <c r="Q1"/>
      <c r="R1"/>
      <c r="S1"/>
      <c r="T1"/>
    </row>
    <row r="2" spans="1:20" ht="13.5" thickBot="1">
      <c r="A2"/>
      <c r="B2"/>
      <c r="C2"/>
      <c r="D2"/>
      <c r="E2"/>
      <c r="F2"/>
      <c r="G2"/>
      <c r="H2"/>
      <c r="I2"/>
      <c r="J2"/>
      <c r="K2"/>
      <c r="L2"/>
      <c r="M2"/>
      <c r="N2"/>
      <c r="O2"/>
      <c r="P2"/>
      <c r="Q2"/>
      <c r="R2"/>
      <c r="S2"/>
      <c r="T2"/>
    </row>
    <row r="3" spans="1:20" ht="13.5" thickBot="1">
      <c r="A3" s="284"/>
      <c r="B3" s="744" t="s">
        <v>2585</v>
      </c>
      <c r="C3" s="284"/>
      <c r="D3"/>
      <c r="E3"/>
      <c r="F3"/>
      <c r="G3"/>
      <c r="H3"/>
      <c r="I3"/>
      <c r="J3"/>
      <c r="K3"/>
      <c r="L3"/>
      <c r="M3"/>
      <c r="N3"/>
      <c r="O3"/>
      <c r="P3"/>
      <c r="Q3"/>
      <c r="R3"/>
      <c r="S3"/>
      <c r="T3"/>
    </row>
    <row r="4" spans="1:20" customFormat="1"/>
    <row r="5" spans="1:20" customFormat="1"/>
    <row r="6" spans="1:20" customFormat="1" ht="13.5" thickBot="1"/>
    <row r="7" spans="1:20" ht="13.5" thickBot="1">
      <c r="A7" s="3102" t="s">
        <v>53</v>
      </c>
      <c r="B7" s="3102"/>
      <c r="C7" s="3102"/>
      <c r="D7"/>
      <c r="E7"/>
      <c r="F7"/>
      <c r="G7"/>
      <c r="H7"/>
      <c r="I7"/>
      <c r="J7"/>
      <c r="K7"/>
      <c r="L7"/>
      <c r="M7"/>
      <c r="N7"/>
      <c r="O7"/>
      <c r="P7"/>
      <c r="Q7"/>
      <c r="R7"/>
      <c r="S7"/>
      <c r="T7"/>
    </row>
    <row r="8" spans="1:20" customFormat="1"/>
    <row r="9" spans="1:20" customFormat="1"/>
    <row r="10" spans="1:20" ht="39.75" customHeight="1">
      <c r="A10"/>
      <c r="B10" s="274" t="s">
        <v>36</v>
      </c>
      <c r="C10"/>
      <c r="D10"/>
      <c r="E10"/>
      <c r="F10"/>
      <c r="G10"/>
      <c r="H10"/>
      <c r="I10"/>
      <c r="J10"/>
      <c r="K10"/>
      <c r="L10"/>
      <c r="M10"/>
      <c r="N10"/>
      <c r="O10"/>
      <c r="P10"/>
      <c r="Q10"/>
      <c r="R10"/>
      <c r="S10"/>
      <c r="T10"/>
    </row>
    <row r="11" spans="1:20" ht="24">
      <c r="A11" s="269" t="s">
        <v>37</v>
      </c>
      <c r="B11" s="646" t="s">
        <v>1124</v>
      </c>
      <c r="C11"/>
      <c r="D11"/>
      <c r="E11"/>
      <c r="F11"/>
      <c r="G11"/>
      <c r="H11"/>
      <c r="I11"/>
      <c r="J11"/>
      <c r="K11"/>
      <c r="L11"/>
      <c r="M11"/>
      <c r="N11"/>
      <c r="O11"/>
      <c r="P11"/>
      <c r="Q11"/>
      <c r="R11"/>
      <c r="S11"/>
      <c r="T11"/>
    </row>
    <row r="12" spans="1:20" ht="24">
      <c r="A12" s="269" t="s">
        <v>38</v>
      </c>
      <c r="B12" s="646" t="s">
        <v>1123</v>
      </c>
      <c r="C12"/>
      <c r="D12"/>
      <c r="E12"/>
      <c r="F12"/>
      <c r="G12"/>
      <c r="H12"/>
      <c r="I12"/>
      <c r="J12"/>
      <c r="K12"/>
      <c r="L12"/>
      <c r="M12"/>
      <c r="N12"/>
      <c r="O12"/>
      <c r="P12"/>
      <c r="Q12"/>
      <c r="R12"/>
      <c r="S12"/>
      <c r="T12"/>
    </row>
    <row r="13" spans="1:20" customFormat="1"/>
    <row r="14" spans="1:20" customFormat="1"/>
    <row r="15" spans="1:20" customFormat="1" ht="13.5" thickBot="1"/>
    <row r="16" spans="1:20" ht="13.5" thickBot="1">
      <c r="A16" s="2726" t="s">
        <v>116</v>
      </c>
      <c r="B16" s="2726"/>
      <c r="C16" s="2726"/>
      <c r="D16"/>
      <c r="E16"/>
      <c r="F16"/>
      <c r="G16"/>
      <c r="H16"/>
      <c r="I16"/>
      <c r="J16"/>
      <c r="K16"/>
      <c r="L16"/>
      <c r="M16"/>
      <c r="N16"/>
      <c r="O16"/>
      <c r="P16"/>
      <c r="Q16"/>
      <c r="R16"/>
      <c r="S16"/>
      <c r="T16"/>
    </row>
    <row r="17" spans="1:20" customFormat="1"/>
    <row r="18" spans="1:20" customFormat="1"/>
    <row r="19" spans="1:20">
      <c r="A19"/>
      <c r="B19" s="818" t="s">
        <v>36</v>
      </c>
      <c r="C19"/>
      <c r="D19"/>
      <c r="E19"/>
      <c r="F19"/>
      <c r="G19"/>
      <c r="H19"/>
      <c r="I19"/>
      <c r="J19"/>
      <c r="K19"/>
      <c r="L19"/>
      <c r="M19"/>
      <c r="N19"/>
      <c r="O19"/>
      <c r="P19"/>
      <c r="Q19"/>
      <c r="R19"/>
      <c r="S19"/>
      <c r="T19"/>
    </row>
    <row r="20" spans="1:20" ht="25.5" customHeight="1">
      <c r="A20" s="819" t="s">
        <v>2131</v>
      </c>
      <c r="B20" s="646" t="s">
        <v>1124</v>
      </c>
      <c r="C20"/>
      <c r="D20"/>
      <c r="E20"/>
      <c r="F20"/>
      <c r="G20"/>
      <c r="H20"/>
      <c r="I20"/>
      <c r="J20"/>
      <c r="K20"/>
      <c r="L20"/>
      <c r="M20"/>
      <c r="N20"/>
      <c r="O20"/>
      <c r="P20"/>
      <c r="Q20"/>
      <c r="R20"/>
      <c r="S20"/>
      <c r="T20"/>
    </row>
    <row r="21" spans="1:20" ht="25.5" customHeight="1">
      <c r="A21" s="270" t="s">
        <v>1028</v>
      </c>
      <c r="B21" s="646" t="s">
        <v>1124</v>
      </c>
      <c r="C21"/>
      <c r="D21"/>
      <c r="E21"/>
      <c r="F21"/>
      <c r="G21"/>
      <c r="H21"/>
      <c r="I21"/>
      <c r="J21"/>
      <c r="K21"/>
      <c r="L21"/>
      <c r="M21"/>
      <c r="N21"/>
      <c r="O21"/>
      <c r="P21"/>
      <c r="Q21"/>
      <c r="R21"/>
      <c r="S21"/>
      <c r="T21"/>
    </row>
    <row r="22" spans="1:20" customFormat="1"/>
    <row r="23" spans="1:20" ht="25.5" customHeight="1">
      <c r="A23" s="3104" t="s">
        <v>538</v>
      </c>
      <c r="B23" s="3104"/>
      <c r="C23" s="3104"/>
      <c r="D23"/>
      <c r="E23"/>
      <c r="F23"/>
      <c r="G23"/>
      <c r="H23"/>
      <c r="I23"/>
      <c r="J23"/>
      <c r="K23"/>
      <c r="L23"/>
      <c r="M23"/>
      <c r="N23"/>
      <c r="O23"/>
      <c r="P23"/>
      <c r="Q23"/>
      <c r="R23"/>
      <c r="S23"/>
      <c r="T23"/>
    </row>
    <row r="24" spans="1:20" customFormat="1"/>
    <row r="25" spans="1:20" customFormat="1"/>
    <row r="26" spans="1:20" customFormat="1" ht="13.5" thickBot="1"/>
    <row r="27" spans="1:20" ht="13.5" thickBot="1">
      <c r="A27" s="2726" t="s">
        <v>1029</v>
      </c>
      <c r="B27" s="2726"/>
      <c r="C27" s="2726"/>
      <c r="D27"/>
      <c r="E27"/>
      <c r="F27"/>
      <c r="G27"/>
      <c r="H27"/>
      <c r="I27"/>
      <c r="J27"/>
      <c r="K27"/>
      <c r="L27"/>
      <c r="M27"/>
      <c r="N27"/>
      <c r="O27"/>
      <c r="P27"/>
      <c r="Q27"/>
      <c r="R27"/>
      <c r="S27"/>
      <c r="T27"/>
    </row>
    <row r="28" spans="1:20" customFormat="1"/>
    <row r="29" spans="1:20">
      <c r="A29" s="3103" t="s">
        <v>1030</v>
      </c>
      <c r="B29" s="3103"/>
      <c r="C29" s="3103"/>
      <c r="D29"/>
      <c r="E29"/>
      <c r="F29"/>
      <c r="G29"/>
      <c r="H29"/>
      <c r="I29"/>
      <c r="J29"/>
      <c r="K29"/>
      <c r="L29"/>
      <c r="M29"/>
      <c r="N29"/>
      <c r="O29"/>
      <c r="P29"/>
      <c r="Q29"/>
      <c r="R29"/>
      <c r="S29"/>
      <c r="T29"/>
    </row>
    <row r="30" spans="1:20" customFormat="1"/>
    <row r="31" spans="1:20">
      <c r="A31"/>
      <c r="B31" s="818" t="s">
        <v>36</v>
      </c>
      <c r="C31"/>
      <c r="D31"/>
      <c r="E31"/>
      <c r="F31"/>
      <c r="G31"/>
      <c r="H31"/>
      <c r="I31"/>
      <c r="J31"/>
      <c r="K31"/>
      <c r="L31"/>
      <c r="M31"/>
      <c r="N31"/>
      <c r="O31"/>
      <c r="P31"/>
      <c r="Q31"/>
      <c r="R31"/>
      <c r="S31"/>
      <c r="T31"/>
    </row>
    <row r="32" spans="1:20" ht="18" customHeight="1">
      <c r="A32" s="819" t="s">
        <v>2132</v>
      </c>
      <c r="B32" s="646" t="s">
        <v>1123</v>
      </c>
      <c r="C32"/>
      <c r="D32"/>
      <c r="E32"/>
      <c r="F32"/>
      <c r="G32"/>
      <c r="H32"/>
      <c r="I32"/>
      <c r="J32"/>
      <c r="K32"/>
      <c r="L32"/>
      <c r="M32"/>
      <c r="N32"/>
      <c r="O32"/>
      <c r="P32"/>
      <c r="Q32"/>
      <c r="R32"/>
      <c r="S32"/>
      <c r="T32"/>
    </row>
    <row r="33" spans="1:20" ht="24">
      <c r="A33" s="836" t="s">
        <v>2133</v>
      </c>
      <c r="B33" s="646" t="s">
        <v>1124</v>
      </c>
      <c r="C33"/>
      <c r="D33"/>
      <c r="E33"/>
      <c r="F33"/>
      <c r="G33"/>
      <c r="H33"/>
      <c r="I33"/>
      <c r="J33"/>
      <c r="K33"/>
      <c r="L33"/>
      <c r="M33"/>
      <c r="N33"/>
      <c r="O33"/>
      <c r="P33"/>
      <c r="Q33"/>
      <c r="R33"/>
      <c r="S33"/>
      <c r="T33"/>
    </row>
    <row r="34" spans="1:20" ht="18" customHeight="1">
      <c r="A34" s="837" t="s">
        <v>706</v>
      </c>
      <c r="B34" s="646" t="s">
        <v>1123</v>
      </c>
      <c r="C34"/>
      <c r="D34"/>
      <c r="E34"/>
      <c r="F34"/>
      <c r="G34"/>
      <c r="H34"/>
      <c r="I34"/>
      <c r="J34"/>
      <c r="K34"/>
      <c r="L34"/>
      <c r="M34"/>
      <c r="N34"/>
      <c r="O34"/>
      <c r="P34"/>
      <c r="Q34"/>
      <c r="R34"/>
      <c r="S34"/>
      <c r="T34"/>
    </row>
    <row r="35" spans="1:20">
      <c r="A35" s="999" t="s">
        <v>539</v>
      </c>
      <c r="B35" s="3099" t="s">
        <v>3011</v>
      </c>
      <c r="C35"/>
      <c r="D35"/>
      <c r="E35"/>
      <c r="F35"/>
      <c r="G35"/>
      <c r="H35"/>
      <c r="I35"/>
      <c r="J35"/>
      <c r="K35"/>
      <c r="L35"/>
      <c r="M35"/>
      <c r="N35"/>
      <c r="O35"/>
      <c r="P35"/>
      <c r="Q35"/>
      <c r="R35"/>
      <c r="S35"/>
      <c r="T35"/>
    </row>
    <row r="36" spans="1:20" ht="12.75" customHeight="1">
      <c r="A36"/>
      <c r="B36" s="3100"/>
      <c r="C36"/>
      <c r="D36"/>
      <c r="E36"/>
      <c r="F36"/>
      <c r="G36"/>
      <c r="H36"/>
      <c r="I36"/>
      <c r="J36"/>
      <c r="K36"/>
      <c r="L36"/>
      <c r="M36"/>
      <c r="N36"/>
      <c r="O36"/>
      <c r="P36"/>
      <c r="Q36"/>
      <c r="R36"/>
      <c r="S36"/>
      <c r="T36"/>
    </row>
    <row r="37" spans="1:20" ht="12.75" customHeight="1">
      <c r="A37"/>
      <c r="B37" s="3100"/>
      <c r="C37"/>
      <c r="D37"/>
      <c r="E37"/>
      <c r="F37"/>
      <c r="G37"/>
      <c r="H37"/>
      <c r="I37"/>
      <c r="J37"/>
      <c r="K37"/>
      <c r="L37"/>
      <c r="M37"/>
      <c r="N37"/>
      <c r="O37"/>
      <c r="P37"/>
      <c r="Q37"/>
      <c r="R37"/>
      <c r="S37"/>
      <c r="T37"/>
    </row>
    <row r="38" spans="1:20" ht="12.75" customHeight="1">
      <c r="A38"/>
      <c r="B38" s="3100"/>
      <c r="C38"/>
      <c r="D38"/>
      <c r="E38"/>
      <c r="F38"/>
      <c r="G38"/>
      <c r="H38"/>
      <c r="I38"/>
      <c r="J38"/>
      <c r="K38"/>
      <c r="L38"/>
      <c r="M38"/>
      <c r="N38"/>
      <c r="O38"/>
      <c r="P38"/>
      <c r="Q38"/>
      <c r="R38"/>
      <c r="S38"/>
      <c r="T38"/>
    </row>
    <row r="39" spans="1:20" ht="12.75" customHeight="1">
      <c r="A39"/>
      <c r="B39" s="3100"/>
      <c r="C39"/>
      <c r="D39"/>
      <c r="E39"/>
      <c r="F39"/>
      <c r="G39"/>
      <c r="H39"/>
      <c r="I39"/>
      <c r="J39"/>
      <c r="K39"/>
      <c r="L39"/>
      <c r="M39"/>
      <c r="N39"/>
      <c r="O39"/>
      <c r="P39"/>
      <c r="Q39"/>
      <c r="R39"/>
      <c r="S39"/>
      <c r="T39"/>
    </row>
    <row r="40" spans="1:20" ht="12.75" customHeight="1">
      <c r="A40"/>
      <c r="B40" s="3101"/>
      <c r="C40"/>
      <c r="D40"/>
      <c r="E40"/>
      <c r="F40"/>
      <c r="G40"/>
      <c r="H40"/>
      <c r="I40"/>
      <c r="J40"/>
      <c r="K40"/>
      <c r="L40"/>
      <c r="M40"/>
      <c r="N40"/>
      <c r="O40"/>
      <c r="P40"/>
      <c r="Q40"/>
      <c r="R40"/>
      <c r="S40"/>
      <c r="T40"/>
    </row>
    <row r="41" spans="1:20" customFormat="1" ht="12.75" customHeight="1"/>
    <row r="42" spans="1:20" customFormat="1" ht="12.75" customHeight="1"/>
    <row r="43" spans="1:20" customFormat="1" ht="12.75" customHeight="1"/>
    <row r="44" spans="1:20" customFormat="1" ht="12.75" customHeight="1"/>
    <row r="45" spans="1:20" customFormat="1" ht="12.75" customHeight="1"/>
    <row r="46" spans="1:20" customFormat="1" ht="12.75" customHeight="1"/>
    <row r="47" spans="1:20" customFormat="1" ht="12.75" customHeight="1"/>
    <row r="48" spans="1:20" customFormat="1" ht="12.75" customHeight="1"/>
  </sheetData>
  <sheetProtection algorithmName="SHA-512" hashValue="Bs/vaQL2WJSXR3AletSFU4KVoqXcV8PxibSkRbDLNrA2KaN8UyRxo25DkPCYt00TfWq1p33oGZdwoDUklM3/6A==" saltValue="wXgWfX72LVbRlbblxyW+yw==" spinCount="100000" sheet="1" objects="1" scenarios="1"/>
  <mergeCells count="6">
    <mergeCell ref="B35:B40"/>
    <mergeCell ref="A7:C7"/>
    <mergeCell ref="A29:C29"/>
    <mergeCell ref="A16:C16"/>
    <mergeCell ref="A23:C23"/>
    <mergeCell ref="A27:C27"/>
  </mergeCells>
  <dataValidations xWindow="30453" yWindow="38863" count="2">
    <dataValidation type="list" allowBlank="1" showInputMessage="1" showErrorMessage="1" errorTitle="Erreur de saisie" error="Vous devez saisir une valeur dans la liste" sqref="B20:B21 B11:B12 B32:B34">
      <formula1>lstReponse</formula1>
    </dataValidation>
    <dataValidation type="textLength" allowBlank="1" showInputMessage="1" showErrorMessage="1" errorTitle="Erreur de saisie" error="Vous devez saisir un texte (50 caractère(s) au maximum)" sqref="B35:B40">
      <formula1>0</formula1>
      <formula2>50</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85" firstPageNumber="0" orientation="portrait" r:id="rId1"/>
  <headerFooter alignWithMargins="0">
    <oddFooter>&amp;LRSU 2020 - Présentation au CTP&amp;R&amp;P/&amp;N
&amp;A</oddFooter>
  </headerFooter>
</worksheet>
</file>

<file path=xl/worksheets/sheet86.xml><?xml version="1.0" encoding="utf-8"?>
<worksheet xmlns="http://schemas.openxmlformats.org/spreadsheetml/2006/main" xmlns:r="http://schemas.openxmlformats.org/officeDocument/2006/relationships">
  <sheetPr codeName="Feuil78">
    <pageSetUpPr autoPageBreaks="0" fitToPage="1"/>
  </sheetPr>
  <dimension ref="A1:E28"/>
  <sheetViews>
    <sheetView showGridLines="0" workbookViewId="0"/>
  </sheetViews>
  <sheetFormatPr baseColWidth="10" defaultRowHeight="12.75" customHeight="1"/>
  <cols>
    <col min="1" max="1" width="36.85546875" customWidth="1"/>
  </cols>
  <sheetData>
    <row r="1" spans="1:5" ht="17.100000000000001" customHeight="1">
      <c r="B1" s="2736" t="s">
        <v>958</v>
      </c>
      <c r="C1" s="2737"/>
    </row>
    <row r="2" spans="1:5" ht="13.5" thickBot="1"/>
    <row r="3" spans="1:5" ht="13.5" thickBot="1">
      <c r="A3" s="3107" t="s">
        <v>2256</v>
      </c>
      <c r="B3" s="3107"/>
      <c r="C3" s="3107"/>
      <c r="D3" s="2476"/>
      <c r="E3" s="2476"/>
    </row>
    <row r="5" spans="1:5" ht="30.75" customHeight="1">
      <c r="A5" s="3106" t="s">
        <v>2213</v>
      </c>
      <c r="B5" s="2748"/>
      <c r="C5" s="2748"/>
      <c r="D5" s="2748"/>
      <c r="E5" s="2748"/>
    </row>
    <row r="7" spans="1:5" ht="38.25" customHeight="1">
      <c r="A7" s="3108" t="s">
        <v>2613</v>
      </c>
      <c r="B7" s="3108"/>
      <c r="C7" s="3109"/>
      <c r="D7" s="3105"/>
      <c r="E7" s="3105"/>
    </row>
    <row r="8" spans="1:5" ht="25.5" customHeight="1">
      <c r="A8" s="3072" t="s">
        <v>251</v>
      </c>
      <c r="B8" s="2748"/>
      <c r="C8" s="2748"/>
      <c r="D8" s="3105"/>
      <c r="E8" s="3105"/>
    </row>
    <row r="10" spans="1:5">
      <c r="A10" s="331" t="s">
        <v>36</v>
      </c>
      <c r="B10" s="853" t="s">
        <v>2134</v>
      </c>
      <c r="C10" s="853" t="s">
        <v>2135</v>
      </c>
    </row>
    <row r="11" spans="1:5" ht="13.5" customHeight="1">
      <c r="A11" s="854" t="s">
        <v>2136</v>
      </c>
      <c r="B11" s="998" t="s">
        <v>1123</v>
      </c>
      <c r="C11" s="998" t="s">
        <v>1124</v>
      </c>
    </row>
    <row r="12" spans="1:5">
      <c r="A12" s="854" t="s">
        <v>2137</v>
      </c>
      <c r="B12" s="998" t="s">
        <v>1124</v>
      </c>
      <c r="C12" s="998" t="s">
        <v>1123</v>
      </c>
    </row>
    <row r="13" spans="1:5" ht="15">
      <c r="B13" s="1263">
        <v>1</v>
      </c>
      <c r="C13" s="1263">
        <v>2</v>
      </c>
      <c r="D13" s="1264" t="s">
        <v>1230</v>
      </c>
    </row>
    <row r="14" spans="1:5" ht="50.25" customHeight="1">
      <c r="A14" s="331" t="s">
        <v>1044</v>
      </c>
    </row>
    <row r="15" spans="1:5">
      <c r="A15" s="934" t="s">
        <v>1045</v>
      </c>
      <c r="B15" s="853" t="s">
        <v>2134</v>
      </c>
      <c r="C15" s="853" t="s">
        <v>2135</v>
      </c>
      <c r="D15" s="1265" t="s">
        <v>1013</v>
      </c>
    </row>
    <row r="16" spans="1:5">
      <c r="A16" s="854" t="s">
        <v>714</v>
      </c>
      <c r="B16" s="855">
        <v>296</v>
      </c>
      <c r="C16" s="855">
        <v>213</v>
      </c>
      <c r="D16" s="1266">
        <v>1</v>
      </c>
    </row>
    <row r="17" spans="1:5">
      <c r="A17" s="854" t="s">
        <v>715</v>
      </c>
      <c r="B17" s="855">
        <v>323</v>
      </c>
      <c r="C17" s="855">
        <v>245</v>
      </c>
      <c r="D17" s="1266">
        <v>2</v>
      </c>
    </row>
    <row r="18" spans="1:5">
      <c r="A18" s="854" t="s">
        <v>670</v>
      </c>
      <c r="B18" s="855">
        <v>2235</v>
      </c>
      <c r="C18" s="855">
        <v>1784</v>
      </c>
      <c r="D18" s="1266">
        <v>3</v>
      </c>
    </row>
    <row r="19" spans="1:5">
      <c r="A19" s="854" t="s">
        <v>1039</v>
      </c>
      <c r="B19" s="855">
        <v>41</v>
      </c>
      <c r="C19" s="855">
        <v>37</v>
      </c>
      <c r="D19" s="1266">
        <v>9</v>
      </c>
    </row>
    <row r="20" spans="1:5">
      <c r="A20" s="854" t="s">
        <v>2138</v>
      </c>
      <c r="B20" s="732">
        <f>SUM(B16:B19)</f>
        <v>2895</v>
      </c>
      <c r="C20" s="732">
        <f>SUM(C16:C19)</f>
        <v>2279</v>
      </c>
      <c r="D20" s="1266">
        <v>0</v>
      </c>
    </row>
    <row r="22" spans="1:5">
      <c r="A22" s="935" t="s">
        <v>1046</v>
      </c>
    </row>
    <row r="23" spans="1:5">
      <c r="A23" s="854" t="s">
        <v>714</v>
      </c>
      <c r="B23" s="855">
        <v>63557</v>
      </c>
      <c r="C23" s="855">
        <v>6408</v>
      </c>
      <c r="D23" s="1266">
        <v>1</v>
      </c>
    </row>
    <row r="24" spans="1:5">
      <c r="A24" s="854" t="s">
        <v>715</v>
      </c>
      <c r="B24" s="855">
        <v>75009</v>
      </c>
      <c r="C24" s="855">
        <v>10790</v>
      </c>
      <c r="D24" s="1266">
        <v>2</v>
      </c>
    </row>
    <row r="25" spans="1:5">
      <c r="A25" s="854" t="s">
        <v>670</v>
      </c>
      <c r="B25" s="855">
        <v>565132</v>
      </c>
      <c r="C25" s="855">
        <v>104720</v>
      </c>
      <c r="D25" s="1266">
        <v>3</v>
      </c>
    </row>
    <row r="26" spans="1:5">
      <c r="A26" s="854" t="s">
        <v>1039</v>
      </c>
      <c r="B26" s="855">
        <v>10669</v>
      </c>
      <c r="C26" s="855">
        <v>2436</v>
      </c>
      <c r="D26" s="1266">
        <v>9</v>
      </c>
    </row>
    <row r="27" spans="1:5">
      <c r="A27" s="854" t="s">
        <v>2139</v>
      </c>
      <c r="B27" s="732">
        <f>SUM(B23:B26)</f>
        <v>714367</v>
      </c>
      <c r="C27" s="732">
        <f>SUM(C23:C26)</f>
        <v>124354</v>
      </c>
      <c r="D27" s="1266">
        <v>0</v>
      </c>
    </row>
    <row r="28" spans="1:5">
      <c r="A28" s="331" t="s">
        <v>133</v>
      </c>
      <c r="E28" s="1"/>
    </row>
  </sheetData>
  <sheetProtection algorithmName="SHA-512" hashValue="oOpotOT09Dd0bk6WYzcZsNDoGQu5Du2XOWGBjA/yi0FMpWlFqrhKW0q8Un9x8tKDuE75EXzxnGFxKJ/Q/MdAXA==" saltValue="Blm9AbdMFfHolWhto501MA==" spinCount="100000" sheet="1" objects="1" scenarios="1"/>
  <mergeCells count="5">
    <mergeCell ref="A8:E8"/>
    <mergeCell ref="B1:C1"/>
    <mergeCell ref="A5:E5"/>
    <mergeCell ref="A3:E3"/>
    <mergeCell ref="A7:E7"/>
  </mergeCells>
  <dataValidations count="2">
    <dataValidation type="list" allowBlank="1" showInputMessage="1" showErrorMessage="1" errorTitle="Erreur de saisie" error="Vous devez saisir une valeur dans la liste" sqref="B11:C12">
      <formula1>lstReponse</formula1>
    </dataValidation>
    <dataValidation type="whole" allowBlank="1" showInputMessage="1" showErrorMessage="1" errorTitle="Erreur de saisie" error="Vous devez saisir une valeur entière" sqref="B23:C26 B16:C19">
      <formula1>0</formula1>
      <formula2>999999999999</formula2>
    </dataValidation>
  </dataValidation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orientation="portrait" r:id="rId1"/>
  <headerFooter alignWithMargins="0">
    <oddFooter>&amp;LRSU 2020 - Présentation au CTP&amp;R&amp;P/&amp;N
&amp;A</oddFooter>
  </headerFooter>
</worksheet>
</file>

<file path=xl/worksheets/sheet87.xml><?xml version="1.0" encoding="utf-8"?>
<worksheet xmlns="http://schemas.openxmlformats.org/spreadsheetml/2006/main" xmlns:r="http://schemas.openxmlformats.org/officeDocument/2006/relationships">
  <sheetPr codeName="Feuil79"/>
  <dimension ref="A1:D86"/>
  <sheetViews>
    <sheetView workbookViewId="0"/>
  </sheetViews>
  <sheetFormatPr baseColWidth="10" defaultRowHeight="12.75" customHeight="1"/>
  <cols>
    <col min="1" max="1" width="34.140625" customWidth="1"/>
    <col min="2" max="2" width="40" customWidth="1"/>
    <col min="3" max="3" width="42.140625" customWidth="1"/>
  </cols>
  <sheetData>
    <row r="1" spans="1:4" ht="12.75" customHeight="1">
      <c r="A1" s="852" t="s">
        <v>660</v>
      </c>
      <c r="B1" s="852"/>
      <c r="C1" s="852"/>
      <c r="D1" s="852"/>
    </row>
    <row r="2" spans="1:4" ht="12.75" customHeight="1">
      <c r="A2" s="852"/>
      <c r="B2" s="852"/>
      <c r="C2" s="852"/>
      <c r="D2" s="852"/>
    </row>
    <row r="3" spans="1:4" ht="12.75" customHeight="1">
      <c r="A3" s="852"/>
      <c r="B3" s="852"/>
      <c r="C3" s="852"/>
      <c r="D3" s="852"/>
    </row>
    <row r="4" spans="1:4" ht="12.75" customHeight="1">
      <c r="A4" s="1008" t="s">
        <v>1513</v>
      </c>
      <c r="B4" s="1014" t="s">
        <v>2049</v>
      </c>
      <c r="C4" s="1014" t="s">
        <v>2050</v>
      </c>
      <c r="D4" s="1014" t="s">
        <v>2048</v>
      </c>
    </row>
    <row r="5" spans="1:4" ht="12.75" customHeight="1">
      <c r="A5" s="861" t="s">
        <v>1915</v>
      </c>
      <c r="B5" s="1015">
        <f>'IND 3.1.1-3.4.3'!B19/'IND 1.1.4'!C32</f>
        <v>36338.094043887148</v>
      </c>
      <c r="C5" s="1015">
        <f>'IND 3.1.1-3.4.3'!C19/'IND 1.1.4'!D32</f>
        <v>30469.107216132245</v>
      </c>
      <c r="D5" s="1016">
        <f>(B5-C5)/B5*100</f>
        <v>16.151058502591425</v>
      </c>
    </row>
    <row r="6" spans="1:4" ht="12.75" customHeight="1">
      <c r="A6" s="862" t="s">
        <v>714</v>
      </c>
      <c r="B6" s="1015">
        <f>'IND 3.1.1-3.4.3'!B20/'IND 1.1.4'!C33</f>
        <v>61137.149946827361</v>
      </c>
      <c r="C6" s="1015">
        <f>'IND 3.1.1-3.4.3'!C20/'IND 1.1.4'!D33</f>
        <v>50508.428761651136</v>
      </c>
      <c r="D6" s="1016">
        <f t="shared" ref="D6:D44" si="0">(B6-C6)/B6*100</f>
        <v>17.385045253860071</v>
      </c>
    </row>
    <row r="7" spans="1:4" ht="12.75" customHeight="1">
      <c r="A7" s="862" t="s">
        <v>715</v>
      </c>
      <c r="B7" s="1015">
        <f>'IND 3.1.1-3.4.3'!B21/'IND 1.1.4'!C34</f>
        <v>42650.070989115004</v>
      </c>
      <c r="C7" s="1015">
        <f>'IND 3.1.1-3.4.3'!C21/'IND 1.1.4'!D34</f>
        <v>35421.766355140186</v>
      </c>
      <c r="D7" s="1016">
        <f t="shared" si="0"/>
        <v>16.947931073361168</v>
      </c>
    </row>
    <row r="8" spans="1:4" ht="12.75" customHeight="1">
      <c r="A8" s="862" t="s">
        <v>670</v>
      </c>
      <c r="B8" s="1015">
        <f>'IND 3.1.1-3.4.3'!B22/'IND 1.1.4'!C35</f>
        <v>26860.451453308597</v>
      </c>
      <c r="C8" s="1015">
        <f>'IND 3.1.1-3.4.3'!C22/'IND 1.1.4'!D35</f>
        <v>27435.809793545501</v>
      </c>
      <c r="D8" s="1016">
        <f t="shared" si="0"/>
        <v>-2.1420278108022379</v>
      </c>
    </row>
    <row r="9" spans="1:4" ht="12.75" customHeight="1">
      <c r="A9" s="863" t="s">
        <v>673</v>
      </c>
      <c r="B9" s="1015">
        <f>'IND 3.1.1-3.4.3'!B23/'IND 1.1.4'!C36</f>
        <v>30660.938562123814</v>
      </c>
      <c r="C9" s="1015">
        <f>'IND 3.1.1-3.4.3'!C23/'IND 1.1.4'!D36</f>
        <v>25185.645314008761</v>
      </c>
      <c r="D9" s="1016">
        <f t="shared" si="0"/>
        <v>17.857552654564895</v>
      </c>
    </row>
    <row r="10" spans="1:4" ht="12.75" customHeight="1">
      <c r="A10" s="862" t="s">
        <v>714</v>
      </c>
      <c r="B10" s="1015">
        <f>'IND 3.1.1-3.4.3'!B24/'IND 1.1.4'!C37</f>
        <v>63985.152671755728</v>
      </c>
      <c r="C10" s="1015">
        <f>'IND 3.1.1-3.4.3'!C24/'IND 1.1.4'!D37</f>
        <v>60113.511939429234</v>
      </c>
      <c r="D10" s="1016">
        <f t="shared" si="0"/>
        <v>6.05084237618067</v>
      </c>
    </row>
    <row r="11" spans="1:4" ht="12.75" customHeight="1">
      <c r="A11" s="862" t="s">
        <v>715</v>
      </c>
      <c r="B11" s="1015">
        <f>'IND 3.1.1-3.4.3'!B25/'IND 1.1.4'!C38</f>
        <v>36422.651072124761</v>
      </c>
      <c r="C11" s="1015">
        <f>'IND 3.1.1-3.4.3'!C25/'IND 1.1.4'!D38</f>
        <v>38277.522935779816</v>
      </c>
      <c r="D11" s="1016">
        <f t="shared" si="0"/>
        <v>-5.0926327684989365</v>
      </c>
    </row>
    <row r="12" spans="1:4" ht="12.75" customHeight="1">
      <c r="A12" s="862" t="s">
        <v>670</v>
      </c>
      <c r="B12" s="1015">
        <f>'IND 3.1.1-3.4.3'!B26/'IND 1.1.4'!C39</f>
        <v>29063.543417941251</v>
      </c>
      <c r="C12" s="1015">
        <f>'IND 3.1.1-3.4.3'!C26/'IND 1.1.4'!D39</f>
        <v>24470.83822764823</v>
      </c>
      <c r="D12" s="1016">
        <f t="shared" si="0"/>
        <v>15.802289226226604</v>
      </c>
    </row>
    <row r="13" spans="1:4" ht="12.75" customHeight="1">
      <c r="A13" s="864" t="s">
        <v>1250</v>
      </c>
      <c r="B13" s="1015">
        <f>'IND 3.1.1-3.4.3'!B27/'IND 1.1.4'!C40</f>
        <v>35719.429173002689</v>
      </c>
      <c r="C13" s="1015">
        <f>'IND 3.1.1-3.4.3'!C27/'IND 1.1.4'!D40</f>
        <v>33750.425650904115</v>
      </c>
      <c r="D13" s="1016">
        <f t="shared" si="0"/>
        <v>5.5124159811231745</v>
      </c>
    </row>
    <row r="14" spans="1:4" ht="12.75" customHeight="1">
      <c r="A14" s="862" t="s">
        <v>714</v>
      </c>
      <c r="B14" s="1015">
        <f>'IND 3.1.1-3.4.3'!B28/'IND 1.1.4'!C41</f>
        <v>41364.134551124975</v>
      </c>
      <c r="C14" s="1015">
        <f>'IND 3.1.1-3.4.3'!C28/'IND 1.1.4'!D41</f>
        <v>41649.515738498791</v>
      </c>
      <c r="D14" s="1016">
        <f t="shared" si="0"/>
        <v>-0.6899242313920344</v>
      </c>
    </row>
    <row r="15" spans="1:4" ht="12.75" customHeight="1">
      <c r="A15" s="862" t="s">
        <v>715</v>
      </c>
      <c r="B15" s="1015">
        <f>'IND 3.1.1-3.4.3'!B29/'IND 1.1.4'!C42</f>
        <v>34505.949367088608</v>
      </c>
      <c r="C15" s="1015">
        <f>'IND 3.1.1-3.4.3'!C29/'IND 1.1.4'!D42</f>
        <v>34301.279094149715</v>
      </c>
      <c r="D15" s="1016">
        <f t="shared" si="0"/>
        <v>0.59314488281868527</v>
      </c>
    </row>
    <row r="16" spans="1:4" ht="12.75" customHeight="1">
      <c r="A16" s="862" t="s">
        <v>670</v>
      </c>
      <c r="B16" s="1015">
        <f>'IND 3.1.1-3.4.3'!B30/'IND 1.1.4'!C43</f>
        <v>26275.16129032258</v>
      </c>
      <c r="C16" s="1015">
        <f>'IND 3.1.1-3.4.3'!C30/'IND 1.1.4'!D43</f>
        <v>27190.295226130653</v>
      </c>
      <c r="D16" s="1016">
        <f t="shared" si="0"/>
        <v>-3.4828860827778314</v>
      </c>
    </row>
    <row r="17" spans="1:4" ht="12.75" customHeight="1">
      <c r="A17" s="865" t="s">
        <v>376</v>
      </c>
      <c r="B17" s="1015">
        <f>'IND 3.1.1-3.4.3'!B31/'IND 1.1.4'!C44</f>
        <v>32750.24255024255</v>
      </c>
      <c r="C17" s="1015">
        <f>'IND 3.1.1-3.4.3'!C31/'IND 1.1.4'!D44</f>
        <v>28979.362549800797</v>
      </c>
      <c r="D17" s="1016">
        <f t="shared" si="0"/>
        <v>11.514052131543147</v>
      </c>
    </row>
    <row r="18" spans="1:4" ht="12.75" customHeight="1">
      <c r="A18" s="862" t="s">
        <v>714</v>
      </c>
      <c r="B18" s="1015">
        <f>'IND 3.1.1-3.4.3'!B32/'IND 1.1.4'!C45</f>
        <v>44115.333333333336</v>
      </c>
      <c r="C18" s="1015" t="e">
        <f>'IND 3.1.1-3.4.3'!C32/'IND 1.1.4'!D45</f>
        <v>#DIV/0!</v>
      </c>
      <c r="D18" s="1016" t="e">
        <f t="shared" si="0"/>
        <v>#DIV/0!</v>
      </c>
    </row>
    <row r="19" spans="1:4" ht="12.75" customHeight="1">
      <c r="A19" s="862" t="s">
        <v>715</v>
      </c>
      <c r="B19" s="1015">
        <f>'IND 3.1.1-3.4.3'!B33/'IND 1.1.4'!C46</f>
        <v>32587.585616438359</v>
      </c>
      <c r="C19" s="1015">
        <f>'IND 3.1.1-3.4.3'!C33/'IND 1.1.4'!D46</f>
        <v>29665.726141078838</v>
      </c>
      <c r="D19" s="1016">
        <f t="shared" si="0"/>
        <v>8.9661735292400095</v>
      </c>
    </row>
    <row r="20" spans="1:4" ht="12.75" customHeight="1">
      <c r="A20" s="862" t="s">
        <v>670</v>
      </c>
      <c r="B20" s="1015">
        <f>'IND 3.1.1-3.4.3'!B34/'IND 1.1.4'!C47</f>
        <v>29438.25</v>
      </c>
      <c r="C20" s="1015">
        <f>'IND 3.1.1-3.4.3'!C34/'IND 1.1.4'!D47</f>
        <v>12438</v>
      </c>
      <c r="D20" s="1016">
        <f t="shared" si="0"/>
        <v>57.748847163129604</v>
      </c>
    </row>
    <row r="21" spans="1:4" ht="12.75" customHeight="1">
      <c r="A21" s="865" t="s">
        <v>1195</v>
      </c>
      <c r="B21" s="1015">
        <f>'IND 3.1.1-3.4.3'!B35/'IND 1.1.4'!C48</f>
        <v>31650</v>
      </c>
      <c r="C21" s="1015">
        <f>'IND 3.1.1-3.4.3'!C35/'IND 1.1.4'!D48</f>
        <v>26713.169196297582</v>
      </c>
      <c r="D21" s="1016">
        <f t="shared" si="0"/>
        <v>15.598201591476835</v>
      </c>
    </row>
    <row r="22" spans="1:4" ht="12.75" customHeight="1">
      <c r="A22" s="862" t="s">
        <v>714</v>
      </c>
      <c r="B22" s="1015">
        <f>'IND 3.1.1-3.4.3'!B36/'IND 1.1.4'!C49</f>
        <v>31650</v>
      </c>
      <c r="C22" s="1015">
        <f>'IND 3.1.1-3.4.3'!C36/'IND 1.1.4'!D49</f>
        <v>35744.153785176379</v>
      </c>
      <c r="D22" s="1016">
        <f t="shared" si="0"/>
        <v>-12.935714961062809</v>
      </c>
    </row>
    <row r="23" spans="1:4" ht="12.75" customHeight="1">
      <c r="A23" s="862" t="s">
        <v>715</v>
      </c>
      <c r="B23" s="1015" t="e">
        <f>'IND 3.1.1-3.4.3'!B37/'IND 1.1.4'!C50</f>
        <v>#DIV/0!</v>
      </c>
      <c r="C23" s="1015">
        <f>'IND 3.1.1-3.4.3'!C37/'IND 1.1.4'!D50</f>
        <v>31032.5</v>
      </c>
      <c r="D23" s="1016" t="e">
        <f t="shared" si="0"/>
        <v>#DIV/0!</v>
      </c>
    </row>
    <row r="24" spans="1:4" ht="12.75" customHeight="1">
      <c r="A24" s="862" t="s">
        <v>670</v>
      </c>
      <c r="B24" s="1015" t="e">
        <f>'IND 3.1.1-3.4.3'!B38/'IND 1.1.4'!C51</f>
        <v>#DIV/0!</v>
      </c>
      <c r="C24" s="1015">
        <f>'IND 3.1.1-3.4.3'!C38/'IND 1.1.4'!D51</f>
        <v>25273.036007815648</v>
      </c>
      <c r="D24" s="1016" t="e">
        <f t="shared" si="0"/>
        <v>#DIV/0!</v>
      </c>
    </row>
    <row r="25" spans="1:4" ht="12.75" customHeight="1">
      <c r="A25" s="866" t="s">
        <v>1574</v>
      </c>
      <c r="B25" s="1015">
        <f>'IND 3.1.1-3.4.3'!B39/'IND 1.1.4'!C52</f>
        <v>43584.25</v>
      </c>
      <c r="C25" s="1015">
        <f>'IND 3.1.1-3.4.3'!C39/'IND 1.1.4'!D52</f>
        <v>31560.166004794104</v>
      </c>
      <c r="D25" s="1016">
        <f t="shared" si="0"/>
        <v>27.588140200200524</v>
      </c>
    </row>
    <row r="26" spans="1:4" ht="12.75" customHeight="1">
      <c r="A26" s="862" t="s">
        <v>714</v>
      </c>
      <c r="B26" s="1015">
        <f>'IND 3.1.1-3.4.3'!B40/'IND 1.1.4'!C53</f>
        <v>87828</v>
      </c>
      <c r="C26" s="1015">
        <f>'IND 3.1.1-3.4.3'!C40/'IND 1.1.4'!D53</f>
        <v>45626.305812973886</v>
      </c>
      <c r="D26" s="1016">
        <f t="shared" si="0"/>
        <v>48.050387333226432</v>
      </c>
    </row>
    <row r="27" spans="1:4" ht="12.75" customHeight="1">
      <c r="A27" s="862" t="s">
        <v>715</v>
      </c>
      <c r="B27" s="1015" t="e">
        <f>'IND 3.1.1-3.4.3'!B41/'IND 1.1.4'!C54</f>
        <v>#DIV/0!</v>
      </c>
      <c r="C27" s="1015" t="e">
        <f>'IND 3.1.1-3.4.3'!C41/'IND 1.1.4'!D54</f>
        <v>#DIV/0!</v>
      </c>
      <c r="D27" s="1016" t="e">
        <f t="shared" si="0"/>
        <v>#DIV/0!</v>
      </c>
    </row>
    <row r="28" spans="1:4" ht="12.75" customHeight="1">
      <c r="A28" s="862" t="s">
        <v>670</v>
      </c>
      <c r="B28" s="1015">
        <f>'IND 3.1.1-3.4.3'!B42/'IND 1.1.4'!C55</f>
        <v>28836.333333333332</v>
      </c>
      <c r="C28" s="1015">
        <f>'IND 3.1.1-3.4.3'!C42/'IND 1.1.4'!D55</f>
        <v>28681.829935784164</v>
      </c>
      <c r="D28" s="1016">
        <f t="shared" si="0"/>
        <v>0.53579418632454845</v>
      </c>
    </row>
    <row r="29" spans="1:4" ht="12.75" customHeight="1">
      <c r="A29" s="866" t="s">
        <v>2127</v>
      </c>
      <c r="B29" s="1015" t="e">
        <f>'IND 3.1.1-3.4.3'!B43/'IND 1.1.4'!C56</f>
        <v>#DIV/0!</v>
      </c>
      <c r="C29" s="1015" t="e">
        <f>'IND 3.1.1-3.4.3'!C43/'IND 1.1.4'!D56</f>
        <v>#DIV/0!</v>
      </c>
      <c r="D29" s="1016" t="e">
        <f t="shared" si="0"/>
        <v>#DIV/0!</v>
      </c>
    </row>
    <row r="30" spans="1:4" ht="12.75" customHeight="1">
      <c r="A30" s="862" t="s">
        <v>714</v>
      </c>
      <c r="B30" s="1015" t="e">
        <f>'IND 3.1.1-3.4.3'!B44/'IND 1.1.4'!C57</f>
        <v>#DIV/0!</v>
      </c>
      <c r="C30" s="1015" t="e">
        <f>'IND 3.1.1-3.4.3'!C44/'IND 1.1.4'!D57</f>
        <v>#DIV/0!</v>
      </c>
      <c r="D30" s="1016" t="e">
        <f t="shared" si="0"/>
        <v>#DIV/0!</v>
      </c>
    </row>
    <row r="31" spans="1:4" ht="12.75" customHeight="1">
      <c r="A31" s="862" t="s">
        <v>715</v>
      </c>
      <c r="B31" s="1015" t="e">
        <f>'IND 3.1.1-3.4.3'!B45/'IND 1.1.4'!C58</f>
        <v>#DIV/0!</v>
      </c>
      <c r="C31" s="1015" t="e">
        <f>'IND 3.1.1-3.4.3'!C45/'IND 1.1.4'!D58</f>
        <v>#DIV/0!</v>
      </c>
      <c r="D31" s="1016" t="e">
        <f t="shared" si="0"/>
        <v>#DIV/0!</v>
      </c>
    </row>
    <row r="32" spans="1:4" ht="12.75" customHeight="1">
      <c r="A32" s="862" t="s">
        <v>670</v>
      </c>
      <c r="B32" s="1015" t="e">
        <f>'IND 3.1.1-3.4.3'!B46/'IND 1.1.4'!C59</f>
        <v>#DIV/0!</v>
      </c>
      <c r="C32" s="1015" t="e">
        <f>'IND 3.1.1-3.4.3'!C46/'IND 1.1.4'!D59</f>
        <v>#DIV/0!</v>
      </c>
      <c r="D32" s="1016" t="e">
        <f t="shared" si="0"/>
        <v>#DIV/0!</v>
      </c>
    </row>
    <row r="33" spans="1:4" ht="12.75" customHeight="1">
      <c r="A33" s="866" t="s">
        <v>1650</v>
      </c>
      <c r="B33" s="1015">
        <f>'IND 3.1.1-3.4.3'!B47/'IND 1.1.4'!C60</f>
        <v>37047.060908797939</v>
      </c>
      <c r="C33" s="1015">
        <f>'IND 3.1.1-3.4.3'!C47/'IND 1.1.4'!D60</f>
        <v>32147.75042827518</v>
      </c>
      <c r="D33" s="1016">
        <f t="shared" si="0"/>
        <v>13.224559142718043</v>
      </c>
    </row>
    <row r="34" spans="1:4" ht="12.75" customHeight="1">
      <c r="A34" s="862" t="s">
        <v>714</v>
      </c>
      <c r="B34" s="1015">
        <f>'IND 3.1.1-3.4.3'!B48/'IND 1.1.4'!C61</f>
        <v>63403.666666666664</v>
      </c>
      <c r="C34" s="1015">
        <f>'IND 3.1.1-3.4.3'!C48/'IND 1.1.4'!D61</f>
        <v>41892</v>
      </c>
      <c r="D34" s="1016">
        <f t="shared" si="0"/>
        <v>33.928111413114905</v>
      </c>
    </row>
    <row r="35" spans="1:4" ht="12.75" customHeight="1">
      <c r="A35" s="862" t="s">
        <v>715</v>
      </c>
      <c r="B35" s="1015">
        <f>'IND 3.1.1-3.4.3'!B49/'IND 1.1.4'!C62</f>
        <v>46951.060396496076</v>
      </c>
      <c r="C35" s="1015">
        <f>'IND 3.1.1-3.4.3'!C49/'IND 1.1.4'!D62</f>
        <v>41671.5</v>
      </c>
      <c r="D35" s="1016">
        <f t="shared" si="0"/>
        <v>11.2448160955489</v>
      </c>
    </row>
    <row r="36" spans="1:4" ht="12.75" customHeight="1">
      <c r="A36" s="862" t="s">
        <v>670</v>
      </c>
      <c r="B36" s="1015">
        <f>'IND 3.1.1-3.4.3'!B50/'IND 1.1.4'!C63</f>
        <v>35119.562746286749</v>
      </c>
      <c r="C36" s="1015">
        <f>'IND 3.1.1-3.4.3'!C50/'IND 1.1.4'!D63</f>
        <v>31504.051583100761</v>
      </c>
      <c r="D36" s="1016">
        <f t="shared" si="0"/>
        <v>10.294863832176446</v>
      </c>
    </row>
    <row r="37" spans="1:4" ht="12.75" customHeight="1">
      <c r="A37" s="867" t="s">
        <v>2192</v>
      </c>
      <c r="B37" s="1015" t="e">
        <f>'IND 3.1.1-3.4.3'!B51/'IND 1.1.4'!C64</f>
        <v>#DIV/0!</v>
      </c>
      <c r="C37" s="1015" t="e">
        <f>'IND 3.1.1-3.4.3'!C51/'IND 1.1.4'!D64</f>
        <v>#DIV/0!</v>
      </c>
      <c r="D37" s="1016" t="e">
        <f t="shared" si="0"/>
        <v>#DIV/0!</v>
      </c>
    </row>
    <row r="38" spans="1:4" ht="12.75" customHeight="1">
      <c r="A38" s="862" t="s">
        <v>714</v>
      </c>
      <c r="B38" s="1015" t="e">
        <f>'IND 3.1.1-3.4.3'!B52/'IND 1.1.4'!C65</f>
        <v>#DIV/0!</v>
      </c>
      <c r="C38" s="1015" t="e">
        <f>'IND 3.1.1-3.4.3'!C52/'IND 1.1.4'!D65</f>
        <v>#DIV/0!</v>
      </c>
      <c r="D38" s="1016" t="e">
        <f t="shared" si="0"/>
        <v>#DIV/0!</v>
      </c>
    </row>
    <row r="39" spans="1:4" ht="12.75" customHeight="1">
      <c r="A39" s="862" t="s">
        <v>715</v>
      </c>
      <c r="B39" s="1015" t="e">
        <f>'IND 3.1.1-3.4.3'!B53/'IND 1.1.4'!C66</f>
        <v>#DIV/0!</v>
      </c>
      <c r="C39" s="1015" t="e">
        <f>'IND 3.1.1-3.4.3'!C53/'IND 1.1.4'!D66</f>
        <v>#DIV/0!</v>
      </c>
      <c r="D39" s="1016" t="e">
        <f t="shared" si="0"/>
        <v>#DIV/0!</v>
      </c>
    </row>
    <row r="40" spans="1:4" ht="12.75" customHeight="1">
      <c r="A40" s="862" t="s">
        <v>670</v>
      </c>
      <c r="B40" s="1015" t="e">
        <f>'IND 3.1.1-3.4.3'!B54/'IND 1.1.4'!C67</f>
        <v>#DIV/0!</v>
      </c>
      <c r="C40" s="1015" t="e">
        <f>'IND 3.1.1-3.4.3'!C54/'IND 1.1.4'!D67</f>
        <v>#DIV/0!</v>
      </c>
      <c r="D40" s="1016" t="e">
        <f t="shared" si="0"/>
        <v>#DIV/0!</v>
      </c>
    </row>
    <row r="41" spans="1:4" ht="12.75" customHeight="1">
      <c r="A41" s="867" t="s">
        <v>1082</v>
      </c>
      <c r="B41" s="1015">
        <f>'IND 3.1.1-3.4.3'!B55/'IND 1.1.4'!C68</f>
        <v>25160.297927461139</v>
      </c>
      <c r="C41" s="1015">
        <f>'IND 3.1.1-3.4.3'!C55/'IND 1.1.4'!D68</f>
        <v>23740.691096901133</v>
      </c>
      <c r="D41" s="1016">
        <f t="shared" si="0"/>
        <v>5.6422496850110013</v>
      </c>
    </row>
    <row r="42" spans="1:4" ht="12.75" customHeight="1">
      <c r="A42" s="862" t="s">
        <v>715</v>
      </c>
      <c r="B42" s="1015">
        <f>'IND 3.1.1-3.4.3'!B56/'IND 1.1.4'!C69</f>
        <v>31467.666666666668</v>
      </c>
      <c r="C42" s="1015">
        <f>'IND 3.1.1-3.4.3'!C56/'IND 1.1.4'!D69</f>
        <v>26372.380952380954</v>
      </c>
      <c r="D42" s="1016">
        <f t="shared" si="0"/>
        <v>16.192130698025636</v>
      </c>
    </row>
    <row r="43" spans="1:4" ht="12.75" customHeight="1">
      <c r="A43" s="862" t="s">
        <v>670</v>
      </c>
      <c r="B43" s="1015">
        <f>'IND 3.1.1-3.4.3'!B57/'IND 1.1.4'!C70</f>
        <v>24221.701388888891</v>
      </c>
      <c r="C43" s="1015">
        <f>'IND 3.1.1-3.4.3'!C57/'IND 1.1.4'!D70</f>
        <v>23350.508330979952</v>
      </c>
      <c r="D43" s="1016">
        <f t="shared" si="0"/>
        <v>3.596745925984278</v>
      </c>
    </row>
    <row r="44" spans="1:4" ht="12.75" customHeight="1">
      <c r="A44" s="518" t="s">
        <v>768</v>
      </c>
      <c r="B44" s="1015">
        <f>'IND 3.1.1-3.4.3'!B58/'IND 1.1.4'!C72</f>
        <v>33037.216309659474</v>
      </c>
      <c r="C44" s="1015">
        <f>'IND 3.1.1-3.4.3'!C58/'IND 1.1.4'!D72</f>
        <v>28230.437624902621</v>
      </c>
      <c r="D44" s="1016">
        <f t="shared" si="0"/>
        <v>14.549587470393016</v>
      </c>
    </row>
    <row r="45" spans="1:4" ht="12.75" customHeight="1">
      <c r="A45" s="852"/>
      <c r="B45" s="852"/>
      <c r="C45" s="852"/>
      <c r="D45" s="852"/>
    </row>
    <row r="46" spans="1:4" ht="12.75" customHeight="1">
      <c r="A46" s="1008" t="s">
        <v>1136</v>
      </c>
      <c r="B46" s="1014" t="s">
        <v>2049</v>
      </c>
      <c r="C46" s="1014" t="s">
        <v>2050</v>
      </c>
      <c r="D46" s="1014" t="s">
        <v>2048</v>
      </c>
    </row>
    <row r="47" spans="1:4" ht="12.75" customHeight="1">
      <c r="A47" s="861" t="s">
        <v>1915</v>
      </c>
      <c r="B47" s="852">
        <f>'IND 3.1.1-3.4.3'!B67/'IND 1.2.4'!C31</f>
        <v>41028.053858967243</v>
      </c>
      <c r="C47" s="852">
        <f>'IND 3.1.1-3.4.3'!C67/'IND 1.2.4'!D31</f>
        <v>38508.181413961756</v>
      </c>
      <c r="D47" s="852">
        <f>(B47-C47)/B47*100</f>
        <v>6.1418278665312176</v>
      </c>
    </row>
    <row r="48" spans="1:4" ht="12.75" customHeight="1">
      <c r="A48" s="346" t="s">
        <v>714</v>
      </c>
      <c r="B48" s="852">
        <f>'IND 3.1.1-3.4.3'!B68/'IND 1.2.4'!C32</f>
        <v>78453.333333333328</v>
      </c>
      <c r="C48" s="852">
        <f>'IND 3.1.1-3.4.3'!C68/'IND 1.2.4'!D32</f>
        <v>56783.559633027522</v>
      </c>
      <c r="D48" s="852">
        <f>(B48-C48)/B48*100</f>
        <v>27.621227524183134</v>
      </c>
    </row>
    <row r="49" spans="1:4" ht="12.75" customHeight="1">
      <c r="A49" s="346" t="s">
        <v>715</v>
      </c>
      <c r="B49" s="852">
        <f>'IND 3.1.1-3.4.3'!B69/'IND 1.2.4'!C33</f>
        <v>50569.25</v>
      </c>
      <c r="C49" s="852">
        <f>'IND 3.1.1-3.4.3'!C69/'IND 1.2.4'!D33</f>
        <v>49627.746319365797</v>
      </c>
      <c r="D49" s="852">
        <f t="shared" ref="D49:D86" si="1">(B49-C49)/B49*100</f>
        <v>1.8618106470517224</v>
      </c>
    </row>
    <row r="50" spans="1:4" ht="12.75" customHeight="1">
      <c r="A50" s="346" t="s">
        <v>670</v>
      </c>
      <c r="B50" s="852">
        <f>'IND 3.1.1-3.4.3'!B70/'IND 1.2.4'!C34</f>
        <v>26957.401872883045</v>
      </c>
      <c r="C50" s="852">
        <f>'IND 3.1.1-3.4.3'!C70/'IND 1.2.4'!D34</f>
        <v>27443.040089086859</v>
      </c>
      <c r="D50" s="852">
        <f t="shared" si="1"/>
        <v>-1.8015023053550498</v>
      </c>
    </row>
    <row r="51" spans="1:4" ht="12.75" customHeight="1">
      <c r="A51" s="844" t="s">
        <v>673</v>
      </c>
      <c r="B51" s="852">
        <f>'IND 3.1.1-3.4.3'!B71/'IND 1.2.4'!C35</f>
        <v>36705.734422553258</v>
      </c>
      <c r="C51" s="852">
        <f>'IND 3.1.1-3.4.3'!C71/'IND 1.2.4'!D35</f>
        <v>24665.25367402703</v>
      </c>
      <c r="D51" s="852">
        <f t="shared" si="1"/>
        <v>32.802723982899373</v>
      </c>
    </row>
    <row r="52" spans="1:4" ht="12.75" customHeight="1">
      <c r="A52" s="346" t="s">
        <v>714</v>
      </c>
      <c r="B52" s="852">
        <f>'IND 3.1.1-3.4.3'!B72/'IND 1.2.4'!C36</f>
        <v>77597.428571428565</v>
      </c>
      <c r="C52" s="852">
        <f>'IND 3.1.1-3.4.3'!C72/'IND 1.2.4'!D36</f>
        <v>36962.628865979379</v>
      </c>
      <c r="D52" s="852">
        <f t="shared" si="1"/>
        <v>52.3661678660457</v>
      </c>
    </row>
    <row r="53" spans="1:4" ht="12.75" customHeight="1">
      <c r="A53" s="346" t="s">
        <v>715</v>
      </c>
      <c r="B53" s="852">
        <f>'IND 3.1.1-3.4.3'!B73/'IND 1.2.4'!C37</f>
        <v>38251.225919439581</v>
      </c>
      <c r="C53" s="852">
        <f>'IND 3.1.1-3.4.3'!C73/'IND 1.2.4'!D37</f>
        <v>37157.894736842107</v>
      </c>
      <c r="D53" s="852">
        <f t="shared" si="1"/>
        <v>2.8582905679941475</v>
      </c>
    </row>
    <row r="54" spans="1:4" ht="12.75" customHeight="1">
      <c r="A54" s="346" t="s">
        <v>670</v>
      </c>
      <c r="B54" s="852">
        <f>'IND 3.1.1-3.4.3'!B74/'IND 1.2.4'!C38</f>
        <v>29800.68166325835</v>
      </c>
      <c r="C54" s="852">
        <f>'IND 3.1.1-3.4.3'!C74/'IND 1.2.4'!D38</f>
        <v>23920.042276677366</v>
      </c>
      <c r="D54" s="852">
        <f t="shared" si="1"/>
        <v>19.733237826674621</v>
      </c>
    </row>
    <row r="55" spans="1:4" ht="12.75" customHeight="1">
      <c r="A55" s="845" t="s">
        <v>1250</v>
      </c>
      <c r="B55" s="852">
        <f>'IND 3.1.1-3.4.3'!B75/'IND 1.2.4'!C39</f>
        <v>29657.537796976245</v>
      </c>
      <c r="C55" s="852">
        <f>'IND 3.1.1-3.4.3'!C75/'IND 1.2.4'!D39</f>
        <v>25699.815157116449</v>
      </c>
      <c r="D55" s="852">
        <f t="shared" si="1"/>
        <v>13.344744486048699</v>
      </c>
    </row>
    <row r="56" spans="1:4" ht="12.75" customHeight="1">
      <c r="A56" s="346" t="s">
        <v>714</v>
      </c>
      <c r="B56" s="852">
        <f>'IND 3.1.1-3.4.3'!B76/'IND 1.2.4'!C40</f>
        <v>32549.851924975319</v>
      </c>
      <c r="C56" s="852">
        <f>'IND 3.1.1-3.4.3'!C76/'IND 1.2.4'!D40</f>
        <v>29076.761904761905</v>
      </c>
      <c r="D56" s="852">
        <f t="shared" si="1"/>
        <v>10.670063962867161</v>
      </c>
    </row>
    <row r="57" spans="1:4" ht="12.75" customHeight="1">
      <c r="A57" s="346" t="s">
        <v>715</v>
      </c>
      <c r="B57" s="852">
        <f>'IND 3.1.1-3.4.3'!B77/'IND 1.2.4'!C41</f>
        <v>27162.063227953411</v>
      </c>
      <c r="C57" s="852">
        <f>'IND 3.1.1-3.4.3'!C77/'IND 1.2.4'!D41</f>
        <v>25029.903846153844</v>
      </c>
      <c r="D57" s="852">
        <f t="shared" si="1"/>
        <v>7.8497695992596341</v>
      </c>
    </row>
    <row r="58" spans="1:4" ht="12.75" customHeight="1">
      <c r="A58" s="346" t="s">
        <v>670</v>
      </c>
      <c r="B58" s="852">
        <f>'IND 3.1.1-3.4.3'!B78/'IND 1.2.4'!C42</f>
        <v>30354</v>
      </c>
      <c r="C58" s="852">
        <f>'IND 3.1.1-3.4.3'!C78/'IND 1.2.4'!D42</f>
        <v>21905</v>
      </c>
      <c r="D58" s="852">
        <f t="shared" si="1"/>
        <v>27.834881728931936</v>
      </c>
    </row>
    <row r="59" spans="1:4" ht="12.75" customHeight="1">
      <c r="A59" s="846" t="s">
        <v>376</v>
      </c>
      <c r="B59" s="852">
        <f>'IND 3.1.1-3.4.3'!B79/'IND 1.2.4'!C43</f>
        <v>27521.709401709402</v>
      </c>
      <c r="C59" s="852">
        <f>'IND 3.1.1-3.4.3'!C79/'IND 1.2.4'!D43</f>
        <v>27071.551052221355</v>
      </c>
      <c r="D59" s="852">
        <f t="shared" si="1"/>
        <v>1.6356482183482655</v>
      </c>
    </row>
    <row r="60" spans="1:4" ht="12.75" customHeight="1">
      <c r="A60" s="346" t="s">
        <v>714</v>
      </c>
      <c r="B60" s="852" t="e">
        <f>'IND 3.1.1-3.4.3'!B80/'IND 1.2.4'!C44</f>
        <v>#DIV/0!</v>
      </c>
      <c r="C60" s="852" t="e">
        <f>'IND 3.1.1-3.4.3'!C80/'IND 1.2.4'!D44</f>
        <v>#DIV/0!</v>
      </c>
      <c r="D60" s="852" t="e">
        <f t="shared" si="1"/>
        <v>#DIV/0!</v>
      </c>
    </row>
    <row r="61" spans="1:4" ht="12.75" customHeight="1">
      <c r="A61" s="346" t="s">
        <v>715</v>
      </c>
      <c r="B61" s="852">
        <f>'IND 3.1.1-3.4.3'!B81/'IND 1.2.4'!C45</f>
        <v>27521.709401709402</v>
      </c>
      <c r="C61" s="852">
        <f>'IND 3.1.1-3.4.3'!C81/'IND 1.2.4'!D45</f>
        <v>27475.486052409131</v>
      </c>
      <c r="D61" s="852">
        <f t="shared" si="1"/>
        <v>0.16795231947838379</v>
      </c>
    </row>
    <row r="62" spans="1:4" ht="12.75" customHeight="1">
      <c r="A62" s="346" t="s">
        <v>670</v>
      </c>
      <c r="B62" s="852" t="e">
        <f>'IND 3.1.1-3.4.3'!B82/'IND 1.2.4'!C46</f>
        <v>#DIV/0!</v>
      </c>
      <c r="C62" s="852">
        <f>'IND 3.1.1-3.4.3'!C82/'IND 1.2.4'!D46</f>
        <v>22293</v>
      </c>
      <c r="D62" s="852" t="e">
        <f t="shared" si="1"/>
        <v>#DIV/0!</v>
      </c>
    </row>
    <row r="63" spans="1:4" ht="12.75" customHeight="1">
      <c r="A63" s="846" t="s">
        <v>1195</v>
      </c>
      <c r="B63" s="852" t="e">
        <f>'IND 3.1.1-3.4.3'!B83/'IND 1.2.4'!C47</f>
        <v>#DIV/0!</v>
      </c>
      <c r="C63" s="852">
        <f>'IND 3.1.1-3.4.3'!C83/'IND 1.2.4'!D47</f>
        <v>24074.204059466432</v>
      </c>
      <c r="D63" s="852" t="e">
        <f t="shared" si="1"/>
        <v>#DIV/0!</v>
      </c>
    </row>
    <row r="64" spans="1:4" ht="12.75" customHeight="1">
      <c r="A64" s="346" t="s">
        <v>714</v>
      </c>
      <c r="B64" s="852" t="e">
        <f>'IND 3.1.1-3.4.3'!B84/'IND 1.2.4'!C48</f>
        <v>#DIV/0!</v>
      </c>
      <c r="C64" s="852">
        <f>'IND 3.1.1-3.4.3'!C84/'IND 1.2.4'!D48</f>
        <v>23353.337874659403</v>
      </c>
      <c r="D64" s="852" t="e">
        <f t="shared" si="1"/>
        <v>#DIV/0!</v>
      </c>
    </row>
    <row r="65" spans="1:4" ht="12.75" customHeight="1">
      <c r="A65" s="346" t="s">
        <v>715</v>
      </c>
      <c r="B65" s="852" t="e">
        <f>'IND 3.1.1-3.4.3'!B85/'IND 1.2.4'!C49</f>
        <v>#DIV/0!</v>
      </c>
      <c r="C65" s="852" t="e">
        <f>'IND 3.1.1-3.4.3'!C85/'IND 1.2.4'!D49</f>
        <v>#DIV/0!</v>
      </c>
      <c r="D65" s="852" t="e">
        <f t="shared" si="1"/>
        <v>#DIV/0!</v>
      </c>
    </row>
    <row r="66" spans="1:4" ht="12.75" customHeight="1">
      <c r="A66" s="346" t="s">
        <v>670</v>
      </c>
      <c r="B66" s="852" t="e">
        <f>'IND 3.1.1-3.4.3'!B86/'IND 1.2.4'!C50</f>
        <v>#DIV/0!</v>
      </c>
      <c r="C66" s="852">
        <f>'IND 3.1.1-3.4.3'!C86/'IND 1.2.4'!D50</f>
        <v>24153.992309432255</v>
      </c>
      <c r="D66" s="852" t="e">
        <f t="shared" si="1"/>
        <v>#DIV/0!</v>
      </c>
    </row>
    <row r="67" spans="1:4" ht="12.75" customHeight="1">
      <c r="A67" s="847" t="s">
        <v>1574</v>
      </c>
      <c r="B67" s="852">
        <f>'IND 3.1.1-3.4.3'!B87/'IND 1.2.4'!C51</f>
        <v>49927.067669172931</v>
      </c>
      <c r="C67" s="852">
        <f>'IND 3.1.1-3.4.3'!C87/'IND 1.2.4'!D51</f>
        <v>26583.883011823276</v>
      </c>
      <c r="D67" s="852">
        <f t="shared" si="1"/>
        <v>46.754567706692526</v>
      </c>
    </row>
    <row r="68" spans="1:4" ht="12.75" customHeight="1">
      <c r="A68" s="346" t="s">
        <v>714</v>
      </c>
      <c r="B68" s="852">
        <f>'IND 3.1.1-3.4.3'!B88/'IND 1.2.4'!C52</f>
        <v>49927.067669172931</v>
      </c>
      <c r="C68" s="852">
        <f>'IND 3.1.1-3.4.3'!C88/'IND 1.2.4'!D52</f>
        <v>53183.155650319823</v>
      </c>
      <c r="D68" s="852">
        <f t="shared" si="1"/>
        <v>-6.5216888015983701</v>
      </c>
    </row>
    <row r="69" spans="1:4" ht="12.75" customHeight="1">
      <c r="A69" s="346" t="s">
        <v>715</v>
      </c>
      <c r="B69" s="852" t="e">
        <f>'IND 3.1.1-3.4.3'!B89/'IND 1.2.4'!C53</f>
        <v>#DIV/0!</v>
      </c>
      <c r="C69" s="852" t="e">
        <f>'IND 3.1.1-3.4.3'!C89/'IND 1.2.4'!D53</f>
        <v>#DIV/0!</v>
      </c>
      <c r="D69" s="852" t="e">
        <f t="shared" si="1"/>
        <v>#DIV/0!</v>
      </c>
    </row>
    <row r="70" spans="1:4" ht="12.75" customHeight="1">
      <c r="A70" s="346" t="s">
        <v>670</v>
      </c>
      <c r="B70" s="852" t="e">
        <f>'IND 3.1.1-3.4.3'!B90/'IND 1.2.4'!C54</f>
        <v>#DIV/0!</v>
      </c>
      <c r="C70" s="852">
        <f>'IND 3.1.1-3.4.3'!C90/'IND 1.2.4'!D54</f>
        <v>24935.051546391755</v>
      </c>
      <c r="D70" s="852" t="e">
        <f t="shared" si="1"/>
        <v>#DIV/0!</v>
      </c>
    </row>
    <row r="71" spans="1:4" ht="12.75" customHeight="1">
      <c r="A71" s="847" t="s">
        <v>2127</v>
      </c>
      <c r="B71" s="852">
        <f>'IND 3.1.1-3.4.3'!B91/'IND 1.2.4'!C55</f>
        <v>41822</v>
      </c>
      <c r="C71" s="852" t="e">
        <f>'IND 3.1.1-3.4.3'!C91/'IND 1.2.4'!D55</f>
        <v>#DIV/0!</v>
      </c>
      <c r="D71" s="852" t="e">
        <f t="shared" si="1"/>
        <v>#DIV/0!</v>
      </c>
    </row>
    <row r="72" spans="1:4" ht="12.75" customHeight="1">
      <c r="A72" s="346" t="s">
        <v>714</v>
      </c>
      <c r="B72" s="852">
        <f>'IND 3.1.1-3.4.3'!B92/'IND 1.2.4'!C56</f>
        <v>41822</v>
      </c>
      <c r="C72" s="852" t="e">
        <f>'IND 3.1.1-3.4.3'!C92/'IND 1.2.4'!D56</f>
        <v>#DIV/0!</v>
      </c>
      <c r="D72" s="852" t="e">
        <f t="shared" si="1"/>
        <v>#DIV/0!</v>
      </c>
    </row>
    <row r="73" spans="1:4" ht="12.75" customHeight="1">
      <c r="A73" s="346" t="s">
        <v>715</v>
      </c>
      <c r="B73" s="852" t="e">
        <f>'IND 3.1.1-3.4.3'!B93/'IND 1.2.4'!C57</f>
        <v>#DIV/0!</v>
      </c>
      <c r="C73" s="852" t="e">
        <f>'IND 3.1.1-3.4.3'!C93/'IND 1.2.4'!D57</f>
        <v>#DIV/0!</v>
      </c>
      <c r="D73" s="852" t="e">
        <f t="shared" si="1"/>
        <v>#DIV/0!</v>
      </c>
    </row>
    <row r="74" spans="1:4" ht="12.75" customHeight="1">
      <c r="A74" s="346" t="s">
        <v>670</v>
      </c>
      <c r="B74" s="852" t="e">
        <f>'IND 3.1.1-3.4.3'!B94/'IND 1.2.4'!C58</f>
        <v>#DIV/0!</v>
      </c>
      <c r="C74" s="852" t="e">
        <f>'IND 3.1.1-3.4.3'!C94/'IND 1.2.4'!D58</f>
        <v>#DIV/0!</v>
      </c>
      <c r="D74" s="852" t="e">
        <f t="shared" si="1"/>
        <v>#DIV/0!</v>
      </c>
    </row>
    <row r="75" spans="1:4" ht="12.75" customHeight="1">
      <c r="A75" s="847" t="s">
        <v>1650</v>
      </c>
      <c r="B75" s="852" t="e">
        <f>'IND 3.1.1-3.4.3'!B95/'IND 1.2.4'!C59</f>
        <v>#DIV/0!</v>
      </c>
      <c r="C75" s="852" t="e">
        <f>'IND 3.1.1-3.4.3'!C95/'IND 1.2.4'!D59</f>
        <v>#DIV/0!</v>
      </c>
      <c r="D75" s="852" t="e">
        <f t="shared" si="1"/>
        <v>#DIV/0!</v>
      </c>
    </row>
    <row r="76" spans="1:4" ht="12.75" customHeight="1">
      <c r="A76" s="346" t="s">
        <v>714</v>
      </c>
      <c r="B76" s="852" t="e">
        <f>'IND 3.1.1-3.4.3'!B96/'IND 1.2.4'!C60</f>
        <v>#DIV/0!</v>
      </c>
      <c r="C76" s="852" t="e">
        <f>'IND 3.1.1-3.4.3'!C96/'IND 1.2.4'!D60</f>
        <v>#DIV/0!</v>
      </c>
      <c r="D76" s="852" t="e">
        <f t="shared" si="1"/>
        <v>#DIV/0!</v>
      </c>
    </row>
    <row r="77" spans="1:4" ht="12.75" customHeight="1">
      <c r="A77" s="346" t="s">
        <v>715</v>
      </c>
      <c r="B77" s="852" t="e">
        <f>'IND 3.1.1-3.4.3'!B97/'IND 1.2.4'!C61</f>
        <v>#DIV/0!</v>
      </c>
      <c r="C77" s="852" t="e">
        <f>'IND 3.1.1-3.4.3'!C97/'IND 1.2.4'!D61</f>
        <v>#DIV/0!</v>
      </c>
      <c r="D77" s="852" t="e">
        <f t="shared" si="1"/>
        <v>#DIV/0!</v>
      </c>
    </row>
    <row r="78" spans="1:4" ht="12.75" customHeight="1">
      <c r="A78" s="346" t="s">
        <v>670</v>
      </c>
      <c r="B78" s="852" t="e">
        <f>'IND 3.1.1-3.4.3'!B98/'IND 1.2.4'!C62</f>
        <v>#DIV/0!</v>
      </c>
      <c r="C78" s="852" t="e">
        <f>'IND 3.1.1-3.4.3'!C98/'IND 1.2.4'!D62</f>
        <v>#DIV/0!</v>
      </c>
      <c r="D78" s="852" t="e">
        <f t="shared" si="1"/>
        <v>#DIV/0!</v>
      </c>
    </row>
    <row r="79" spans="1:4" ht="12.75" customHeight="1">
      <c r="A79" s="848" t="s">
        <v>2192</v>
      </c>
      <c r="B79" s="852" t="e">
        <f>'IND 3.1.1-3.4.3'!B99/'IND 1.2.4'!C63</f>
        <v>#DIV/0!</v>
      </c>
      <c r="C79" s="852" t="e">
        <f>'IND 3.1.1-3.4.3'!C99/'IND 1.2.4'!D63</f>
        <v>#DIV/0!</v>
      </c>
      <c r="D79" s="852" t="e">
        <f t="shared" si="1"/>
        <v>#DIV/0!</v>
      </c>
    </row>
    <row r="80" spans="1:4" ht="12.75" customHeight="1">
      <c r="A80" s="346" t="s">
        <v>714</v>
      </c>
      <c r="B80" s="852" t="e">
        <f>'IND 3.1.1-3.4.3'!B100/'IND 1.2.4'!C64</f>
        <v>#DIV/0!</v>
      </c>
      <c r="C80" s="852" t="e">
        <f>'IND 3.1.1-3.4.3'!C100/'IND 1.2.4'!D64</f>
        <v>#DIV/0!</v>
      </c>
      <c r="D80" s="852" t="e">
        <f t="shared" si="1"/>
        <v>#DIV/0!</v>
      </c>
    </row>
    <row r="81" spans="1:4" ht="12.75" customHeight="1">
      <c r="A81" s="346" t="s">
        <v>715</v>
      </c>
      <c r="B81" s="852" t="e">
        <f>'IND 3.1.1-3.4.3'!B101/'IND 1.2.4'!C65</f>
        <v>#DIV/0!</v>
      </c>
      <c r="C81" s="852" t="e">
        <f>'IND 3.1.1-3.4.3'!C101/'IND 1.2.4'!D65</f>
        <v>#DIV/0!</v>
      </c>
      <c r="D81" s="852" t="e">
        <f t="shared" si="1"/>
        <v>#DIV/0!</v>
      </c>
    </row>
    <row r="82" spans="1:4" ht="12.75" customHeight="1">
      <c r="A82" s="346" t="s">
        <v>670</v>
      </c>
      <c r="B82" s="852" t="e">
        <f>'IND 3.1.1-3.4.3'!B102/'IND 1.2.4'!C66</f>
        <v>#DIV/0!</v>
      </c>
      <c r="C82" s="852" t="e">
        <f>'IND 3.1.1-3.4.3'!C102/'IND 1.2.4'!D66</f>
        <v>#DIV/0!</v>
      </c>
      <c r="D82" s="852" t="e">
        <f t="shared" si="1"/>
        <v>#DIV/0!</v>
      </c>
    </row>
    <row r="83" spans="1:4" ht="12.75" customHeight="1">
      <c r="A83" s="848" t="s">
        <v>1082</v>
      </c>
      <c r="B83" s="852">
        <f>'IND 3.1.1-3.4.3'!B103/'IND 1.2.4'!C67</f>
        <v>23817.57156959526</v>
      </c>
      <c r="C83" s="852">
        <f>'IND 3.1.1-3.4.3'!C103/'IND 1.2.4'!D67</f>
        <v>23329.357445171219</v>
      </c>
      <c r="D83" s="852">
        <f t="shared" si="1"/>
        <v>2.0498064758511294</v>
      </c>
    </row>
    <row r="84" spans="1:4" ht="12.75" customHeight="1">
      <c r="A84" s="346" t="s">
        <v>715</v>
      </c>
      <c r="B84" s="852">
        <f>'IND 3.1.1-3.4.3'!B104/'IND 1.2.4'!C69</f>
        <v>2296.5128205128203</v>
      </c>
      <c r="C84" s="852"/>
      <c r="D84" s="852"/>
    </row>
    <row r="85" spans="1:4" ht="12.75" customHeight="1">
      <c r="A85" s="346" t="s">
        <v>670</v>
      </c>
      <c r="B85" s="852" t="e">
        <f>'IND 3.1.1-3.4.3'!B105/'IND 1.2.4'!C70</f>
        <v>#DIV/0!</v>
      </c>
      <c r="C85" s="852">
        <f>'IND 3.1.1-3.4.3'!C104/'IND 1.2.4'!D69</f>
        <v>3696.3270660253606</v>
      </c>
      <c r="D85" s="852" t="e">
        <f t="shared" si="1"/>
        <v>#DIV/0!</v>
      </c>
    </row>
    <row r="86" spans="1:4" ht="12.75" customHeight="1">
      <c r="A86" s="518" t="s">
        <v>768</v>
      </c>
      <c r="B86" s="852">
        <f>'IND 3.1.1-3.4.3'!B106/'IND 1.2.4'!C71</f>
        <v>36336.63219276048</v>
      </c>
      <c r="C86" s="852" t="e">
        <f>'IND 3.1.1-3.4.3'!C106/'IND 1.2.4'!D70</f>
        <v>#DIV/0!</v>
      </c>
      <c r="D86" s="852" t="e">
        <f t="shared" si="1"/>
        <v>#DIV/0!</v>
      </c>
    </row>
  </sheetData>
  <sheetProtection algorithmName="SHA-512" hashValue="1oNBTWoNKLMzAbEdsNobBoUpztl1nEJd6otYYZ01SN+QkjIh4WUWz4wmobJQF5HDuYydlpMzfsqunhYACk+JIQ==" saltValue="/ZoJUV97kAdhZ7yAhfmtTg==" spinCount="100000" sheet="1" objects="1" scenarios="1"/>
  <pageMargins left="0.59027777777777801" right="0.59027777777777801" top="0.59027777777777801" bottom="0.59027777777777801" header="0.51180555555555596" footer="0.3"/>
  <pageSetup paperSize="9" orientation="portrait" r:id="rId1"/>
  <headerFooter>
    <oddFooter>&amp;LBS2019 - Présentation au CTP&amp;R&amp;P/&amp;N
&amp;A</oddFooter>
  </headerFooter>
</worksheet>
</file>

<file path=xl/worksheets/sheet88.xml><?xml version="1.0" encoding="utf-8"?>
<worksheet xmlns="http://schemas.openxmlformats.org/spreadsheetml/2006/main" xmlns:r="http://schemas.openxmlformats.org/officeDocument/2006/relationships">
  <sheetPr codeName="Feuil791">
    <pageSetUpPr fitToPage="1"/>
  </sheetPr>
  <dimension ref="A1:F90"/>
  <sheetViews>
    <sheetView showGridLines="0" workbookViewId="0"/>
  </sheetViews>
  <sheetFormatPr baseColWidth="10" defaultRowHeight="12.75" customHeight="1"/>
  <cols>
    <col min="1" max="1" width="34.140625" customWidth="1"/>
    <col min="2" max="2" width="28" customWidth="1"/>
    <col min="3" max="3" width="27.42578125" customWidth="1"/>
  </cols>
  <sheetData>
    <row r="1" spans="1:6" ht="12.75" customHeight="1">
      <c r="B1" s="2736" t="s">
        <v>958</v>
      </c>
      <c r="C1" s="2457"/>
    </row>
    <row r="2" spans="1:6" ht="12.75" customHeight="1" thickBot="1">
      <c r="A2" s="1272"/>
      <c r="B2" s="1272"/>
      <c r="C2" s="1272"/>
      <c r="D2" s="1272"/>
    </row>
    <row r="3" spans="1:6" ht="12.75" customHeight="1" thickBot="1">
      <c r="A3" s="1273"/>
      <c r="B3" s="1271" t="s">
        <v>530</v>
      </c>
      <c r="C3" s="1273"/>
      <c r="D3" s="1274"/>
    </row>
    <row r="4" spans="1:6" ht="12.75" customHeight="1">
      <c r="A4" s="66"/>
      <c r="B4" s="125"/>
      <c r="C4" s="66"/>
      <c r="D4" s="6"/>
    </row>
    <row r="5" spans="1:6" ht="38.25" customHeight="1">
      <c r="A5" s="3110" t="s">
        <v>2247</v>
      </c>
      <c r="B5" s="3111"/>
      <c r="C5" s="3111"/>
      <c r="D5" s="3111"/>
    </row>
    <row r="6" spans="1:6" ht="12.75" customHeight="1">
      <c r="A6" s="5"/>
      <c r="B6" s="5"/>
      <c r="C6" s="5"/>
      <c r="D6" s="5"/>
    </row>
    <row r="7" spans="1:6" ht="26.25" customHeight="1">
      <c r="A7" s="27" t="s">
        <v>1513</v>
      </c>
      <c r="B7" s="1275" t="s">
        <v>526</v>
      </c>
      <c r="C7" s="1275" t="s">
        <v>527</v>
      </c>
      <c r="D7" s="1276" t="s">
        <v>2048</v>
      </c>
      <c r="E7" s="1277" t="s">
        <v>1994</v>
      </c>
      <c r="F7" s="1277" t="s">
        <v>1730</v>
      </c>
    </row>
    <row r="8" spans="1:6" ht="12.75" customHeight="1">
      <c r="A8" s="1278" t="s">
        <v>1915</v>
      </c>
      <c r="B8" s="1279">
        <f>IF(ISERROR('IND 3.1.1-3.4.3'!B19/'IND 1.1.4'!C32),"",ROUND('IND 3.1.1-3.4.3'!B19/'IND 1.1.4'!C32,0))</f>
        <v>36338</v>
      </c>
      <c r="C8" s="1279">
        <f>IF(ISERROR('IND 3.1.1-3.4.3'!C19/'IND 1.1.4'!D32), "", ROUND('IND 3.1.1-3.4.3'!C19/'IND 1.1.4'!D32,0))</f>
        <v>30469</v>
      </c>
      <c r="D8" s="1280">
        <f>IF(ISERROR((B8-C8)/B8*100),"",ROUND((B8-C8)/B8*100,2))</f>
        <v>16.149999999999999</v>
      </c>
      <c r="E8" s="1277" t="s">
        <v>1852</v>
      </c>
      <c r="F8" s="1277">
        <v>0</v>
      </c>
    </row>
    <row r="9" spans="1:6" ht="12.75" customHeight="1">
      <c r="A9" s="843" t="s">
        <v>714</v>
      </c>
      <c r="B9" s="1279">
        <f>IF(ISERROR('IND 3.1.1-3.4.3'!B20/'IND 1.1.4'!C33),"",ROUND('IND 3.1.1-3.4.3'!B20/'IND 1.1.4'!C33,0))</f>
        <v>61137</v>
      </c>
      <c r="C9" s="1279">
        <f>IF(ISERROR('IND 3.1.1-3.4.3'!C20/'IND 1.1.4'!D33), "", ROUND('IND 3.1.1-3.4.3'!C20/'IND 1.1.4'!D33,0))</f>
        <v>50508</v>
      </c>
      <c r="D9" s="1280">
        <f t="shared" ref="D9:D47" si="0">IF(ISERROR((B9-C9)/B9*100),"",ROUND((B9-C9)/B9*100,2))</f>
        <v>17.39</v>
      </c>
      <c r="E9" s="1277" t="s">
        <v>1852</v>
      </c>
      <c r="F9" s="1277">
        <v>1</v>
      </c>
    </row>
    <row r="10" spans="1:6" ht="12.75" customHeight="1">
      <c r="A10" s="843" t="s">
        <v>715</v>
      </c>
      <c r="B10" s="1279">
        <f>IF(ISERROR('IND 3.1.1-3.4.3'!B21/'IND 1.1.4'!C34),"",ROUND('IND 3.1.1-3.4.3'!B21/'IND 1.1.4'!C34,0))</f>
        <v>42650</v>
      </c>
      <c r="C10" s="1279">
        <f>IF(ISERROR('IND 3.1.1-3.4.3'!C21/'IND 1.1.4'!D34), "", ROUND('IND 3.1.1-3.4.3'!C21/'IND 1.1.4'!D34,0))</f>
        <v>35422</v>
      </c>
      <c r="D10" s="1280">
        <f t="shared" si="0"/>
        <v>16.95</v>
      </c>
      <c r="E10" s="1277" t="s">
        <v>1852</v>
      </c>
      <c r="F10" s="1277">
        <v>2</v>
      </c>
    </row>
    <row r="11" spans="1:6" ht="12.75" customHeight="1">
      <c r="A11" s="843" t="s">
        <v>670</v>
      </c>
      <c r="B11" s="1279">
        <f>IF(ISERROR('IND 3.1.1-3.4.3'!B22/'IND 1.1.4'!C35),"",ROUND('IND 3.1.1-3.4.3'!B22/'IND 1.1.4'!C35,0))</f>
        <v>26860</v>
      </c>
      <c r="C11" s="1279">
        <f>IF(ISERROR('IND 3.1.1-3.4.3'!C22/'IND 1.1.4'!D35), "", ROUND('IND 3.1.1-3.4.3'!C22/'IND 1.1.4'!D35,0))</f>
        <v>27436</v>
      </c>
      <c r="D11" s="1280">
        <f t="shared" si="0"/>
        <v>-2.14</v>
      </c>
      <c r="E11" s="1277" t="s">
        <v>1852</v>
      </c>
      <c r="F11" s="1277">
        <v>3</v>
      </c>
    </row>
    <row r="12" spans="1:6" ht="12.75" customHeight="1">
      <c r="A12" s="1281" t="s">
        <v>673</v>
      </c>
      <c r="B12" s="1279">
        <f>IF(ISERROR('IND 3.1.1-3.4.3'!B23/'IND 1.1.4'!C36),"",ROUND('IND 3.1.1-3.4.3'!B23/'IND 1.1.4'!C36,0))</f>
        <v>30661</v>
      </c>
      <c r="C12" s="1279">
        <f>IF(ISERROR('IND 3.1.1-3.4.3'!C23/'IND 1.1.4'!D36), "", ROUND('IND 3.1.1-3.4.3'!C23/'IND 1.1.4'!D36,0))</f>
        <v>25186</v>
      </c>
      <c r="D12" s="1280">
        <f t="shared" si="0"/>
        <v>17.86</v>
      </c>
      <c r="E12" s="1277" t="s">
        <v>1249</v>
      </c>
      <c r="F12" s="1277">
        <v>0</v>
      </c>
    </row>
    <row r="13" spans="1:6" ht="12.75" customHeight="1">
      <c r="A13" s="843" t="s">
        <v>714</v>
      </c>
      <c r="B13" s="1279">
        <f>IF(ISERROR('IND 3.1.1-3.4.3'!B24/'IND 1.1.4'!C37),"",ROUND('IND 3.1.1-3.4.3'!B24/'IND 1.1.4'!C37,0))</f>
        <v>63985</v>
      </c>
      <c r="C13" s="1279">
        <f>IF(ISERROR('IND 3.1.1-3.4.3'!C24/'IND 1.1.4'!D37), "", ROUND('IND 3.1.1-3.4.3'!C24/'IND 1.1.4'!D37,0))</f>
        <v>60114</v>
      </c>
      <c r="D13" s="1280">
        <f t="shared" si="0"/>
        <v>6.05</v>
      </c>
      <c r="E13" s="1277" t="s">
        <v>1249</v>
      </c>
      <c r="F13" s="1277">
        <v>1</v>
      </c>
    </row>
    <row r="14" spans="1:6" ht="12.75" customHeight="1">
      <c r="A14" s="843" t="s">
        <v>715</v>
      </c>
      <c r="B14" s="1279">
        <f>IF(ISERROR('IND 3.1.1-3.4.3'!B25/'IND 1.1.4'!C38),"",ROUND('IND 3.1.1-3.4.3'!B25/'IND 1.1.4'!C38,0))</f>
        <v>36423</v>
      </c>
      <c r="C14" s="1279">
        <f>IF(ISERROR('IND 3.1.1-3.4.3'!C25/'IND 1.1.4'!D38), "", ROUND('IND 3.1.1-3.4.3'!C25/'IND 1.1.4'!D38,0))</f>
        <v>38278</v>
      </c>
      <c r="D14" s="1280">
        <f t="shared" si="0"/>
        <v>-5.09</v>
      </c>
      <c r="E14" s="1277" t="s">
        <v>1249</v>
      </c>
      <c r="F14" s="1277">
        <v>2</v>
      </c>
    </row>
    <row r="15" spans="1:6" ht="12.75" customHeight="1">
      <c r="A15" s="843" t="s">
        <v>670</v>
      </c>
      <c r="B15" s="1279">
        <f>IF(ISERROR('IND 3.1.1-3.4.3'!B26/'IND 1.1.4'!C39),"",ROUND('IND 3.1.1-3.4.3'!B26/'IND 1.1.4'!C39,0))</f>
        <v>29064</v>
      </c>
      <c r="C15" s="1279">
        <f>IF(ISERROR('IND 3.1.1-3.4.3'!C26/'IND 1.1.4'!D39), "", ROUND('IND 3.1.1-3.4.3'!C26/'IND 1.1.4'!D39,0))</f>
        <v>24471</v>
      </c>
      <c r="D15" s="1280">
        <f t="shared" si="0"/>
        <v>15.8</v>
      </c>
      <c r="E15" s="1277" t="s">
        <v>1249</v>
      </c>
      <c r="F15" s="1277">
        <v>3</v>
      </c>
    </row>
    <row r="16" spans="1:6" ht="12.75" customHeight="1">
      <c r="A16" s="1282" t="s">
        <v>1250</v>
      </c>
      <c r="B16" s="1279">
        <f>IF(ISERROR('IND 3.1.1-3.4.3'!B27/'IND 1.1.4'!C40),"",ROUND('IND 3.1.1-3.4.3'!B27/'IND 1.1.4'!C40,0))</f>
        <v>35719</v>
      </c>
      <c r="C16" s="1279">
        <f>IF(ISERROR('IND 3.1.1-3.4.3'!C27/'IND 1.1.4'!D40), "", ROUND('IND 3.1.1-3.4.3'!C27/'IND 1.1.4'!D40,0))</f>
        <v>33750</v>
      </c>
      <c r="D16" s="1280">
        <f t="shared" si="0"/>
        <v>5.51</v>
      </c>
      <c r="E16" s="1277" t="s">
        <v>375</v>
      </c>
      <c r="F16" s="1277">
        <v>0</v>
      </c>
    </row>
    <row r="17" spans="1:6" ht="12.75" customHeight="1">
      <c r="A17" s="843" t="s">
        <v>714</v>
      </c>
      <c r="B17" s="1279">
        <f>IF(ISERROR('IND 3.1.1-3.4.3'!B28/'IND 1.1.4'!C41),"",ROUND('IND 3.1.1-3.4.3'!B28/'IND 1.1.4'!C41,0))</f>
        <v>41364</v>
      </c>
      <c r="C17" s="1279">
        <f>IF(ISERROR('IND 3.1.1-3.4.3'!C28/'IND 1.1.4'!D41), "", ROUND('IND 3.1.1-3.4.3'!C28/'IND 1.1.4'!D41,0))</f>
        <v>41650</v>
      </c>
      <c r="D17" s="1280">
        <f t="shared" si="0"/>
        <v>-0.69</v>
      </c>
      <c r="E17" s="1277" t="s">
        <v>375</v>
      </c>
      <c r="F17" s="1277">
        <v>1</v>
      </c>
    </row>
    <row r="18" spans="1:6" ht="12.75" customHeight="1">
      <c r="A18" s="843" t="s">
        <v>715</v>
      </c>
      <c r="B18" s="1279">
        <f>IF(ISERROR('IND 3.1.1-3.4.3'!B29/'IND 1.1.4'!C42),"",ROUND('IND 3.1.1-3.4.3'!B29/'IND 1.1.4'!C42,0))</f>
        <v>34506</v>
      </c>
      <c r="C18" s="1279">
        <f>IF(ISERROR('IND 3.1.1-3.4.3'!C29/'IND 1.1.4'!D42), "", ROUND('IND 3.1.1-3.4.3'!C29/'IND 1.1.4'!D42,0))</f>
        <v>34301</v>
      </c>
      <c r="D18" s="1280">
        <f t="shared" si="0"/>
        <v>0.59</v>
      </c>
      <c r="E18" s="1277" t="s">
        <v>375</v>
      </c>
      <c r="F18" s="1277">
        <v>2</v>
      </c>
    </row>
    <row r="19" spans="1:6" ht="12.75" customHeight="1">
      <c r="A19" s="843" t="s">
        <v>670</v>
      </c>
      <c r="B19" s="1279">
        <f>IF(ISERROR('IND 3.1.1-3.4.3'!B30/'IND 1.1.4'!C43),"",ROUND('IND 3.1.1-3.4.3'!B30/'IND 1.1.4'!C43,0))</f>
        <v>26275</v>
      </c>
      <c r="C19" s="1279">
        <f>IF(ISERROR('IND 3.1.1-3.4.3'!C30/'IND 1.1.4'!D43), "", ROUND('IND 3.1.1-3.4.3'!C30/'IND 1.1.4'!D43,0))</f>
        <v>27190</v>
      </c>
      <c r="D19" s="1280">
        <f t="shared" si="0"/>
        <v>-3.48</v>
      </c>
      <c r="E19" s="1277" t="s">
        <v>375</v>
      </c>
      <c r="F19" s="1277">
        <v>3</v>
      </c>
    </row>
    <row r="20" spans="1:6" ht="12.75" customHeight="1">
      <c r="A20" s="1283" t="s">
        <v>376</v>
      </c>
      <c r="B20" s="1279">
        <f>IF(ISERROR('IND 3.1.1-3.4.3'!B31/'IND 1.1.4'!C44),"",ROUND('IND 3.1.1-3.4.3'!B31/'IND 1.1.4'!C44,0))</f>
        <v>32750</v>
      </c>
      <c r="C20" s="1279">
        <f>IF(ISERROR('IND 3.1.1-3.4.3'!C31/'IND 1.1.4'!D44), "", ROUND('IND 3.1.1-3.4.3'!C31/'IND 1.1.4'!D44,0))</f>
        <v>28979</v>
      </c>
      <c r="D20" s="1280">
        <f t="shared" si="0"/>
        <v>11.51</v>
      </c>
      <c r="E20" s="1277" t="s">
        <v>1194</v>
      </c>
      <c r="F20" s="1277">
        <v>0</v>
      </c>
    </row>
    <row r="21" spans="1:6" ht="12.75" customHeight="1">
      <c r="A21" s="843" t="s">
        <v>714</v>
      </c>
      <c r="B21" s="1279">
        <f>IF(ISERROR('IND 3.1.1-3.4.3'!B32/'IND 1.1.4'!C45),"",ROUND('IND 3.1.1-3.4.3'!B32/'IND 1.1.4'!C45,0))</f>
        <v>44115</v>
      </c>
      <c r="C21" s="1279" t="str">
        <f>IF(ISERROR('IND 3.1.1-3.4.3'!C32/'IND 1.1.4'!D45), "", ROUND('IND 3.1.1-3.4.3'!C32/'IND 1.1.4'!D45,0))</f>
        <v/>
      </c>
      <c r="D21" s="1280" t="str">
        <f t="shared" si="0"/>
        <v/>
      </c>
      <c r="E21" s="1277" t="s">
        <v>1194</v>
      </c>
      <c r="F21" s="1277">
        <v>1</v>
      </c>
    </row>
    <row r="22" spans="1:6" ht="12.75" customHeight="1">
      <c r="A22" s="843" t="s">
        <v>715</v>
      </c>
      <c r="B22" s="1279">
        <f>IF(ISERROR('IND 3.1.1-3.4.3'!B33/'IND 1.1.4'!C46),"",ROUND('IND 3.1.1-3.4.3'!B33/'IND 1.1.4'!C46,0))</f>
        <v>32588</v>
      </c>
      <c r="C22" s="1279">
        <f>IF(ISERROR('IND 3.1.1-3.4.3'!C33/'IND 1.1.4'!D46), "", ROUND('IND 3.1.1-3.4.3'!C33/'IND 1.1.4'!D46,0))</f>
        <v>29666</v>
      </c>
      <c r="D22" s="1280">
        <f t="shared" si="0"/>
        <v>8.9700000000000006</v>
      </c>
      <c r="E22" s="1277" t="s">
        <v>1194</v>
      </c>
      <c r="F22" s="1277">
        <v>2</v>
      </c>
    </row>
    <row r="23" spans="1:6" ht="12.75" customHeight="1">
      <c r="A23" s="843" t="s">
        <v>670</v>
      </c>
      <c r="B23" s="1279">
        <f>IF(ISERROR('IND 3.1.1-3.4.3'!B34/'IND 1.1.4'!C47),"",ROUND('IND 3.1.1-3.4.3'!B34/'IND 1.1.4'!C47,0))</f>
        <v>29438</v>
      </c>
      <c r="C23" s="1279">
        <f>IF(ISERROR('IND 3.1.1-3.4.3'!C34/'IND 1.1.4'!D47), "", ROUND('IND 3.1.1-3.4.3'!C34/'IND 1.1.4'!D47,0))</f>
        <v>12438</v>
      </c>
      <c r="D23" s="1280">
        <f t="shared" si="0"/>
        <v>57.75</v>
      </c>
      <c r="E23" s="1277" t="s">
        <v>1194</v>
      </c>
      <c r="F23" s="1277">
        <v>3</v>
      </c>
    </row>
    <row r="24" spans="1:6" ht="12.75" customHeight="1">
      <c r="A24" s="1283" t="s">
        <v>1195</v>
      </c>
      <c r="B24" s="1279">
        <f>IF(ISERROR('IND 3.1.1-3.4.3'!B35/'IND 1.1.4'!C48),"",ROUND('IND 3.1.1-3.4.3'!B35/'IND 1.1.4'!C48,0))</f>
        <v>31650</v>
      </c>
      <c r="C24" s="1279">
        <f>IF(ISERROR('IND 3.1.1-3.4.3'!C35/'IND 1.1.4'!D48), "", ROUND('IND 3.1.1-3.4.3'!C35/'IND 1.1.4'!D48,0))</f>
        <v>26713</v>
      </c>
      <c r="D24" s="1280">
        <f t="shared" si="0"/>
        <v>15.6</v>
      </c>
      <c r="E24" s="1277" t="s">
        <v>1573</v>
      </c>
      <c r="F24" s="1277">
        <v>0</v>
      </c>
    </row>
    <row r="25" spans="1:6" ht="12.75" customHeight="1">
      <c r="A25" s="843" t="s">
        <v>714</v>
      </c>
      <c r="B25" s="1279">
        <f>IF(ISERROR('IND 3.1.1-3.4.3'!B36/'IND 1.1.4'!C49),"",ROUND('IND 3.1.1-3.4.3'!B36/'IND 1.1.4'!C49,0))</f>
        <v>31650</v>
      </c>
      <c r="C25" s="1279">
        <f>IF(ISERROR('IND 3.1.1-3.4.3'!C36/'IND 1.1.4'!D49), "", ROUND('IND 3.1.1-3.4.3'!C36/'IND 1.1.4'!D49,0))</f>
        <v>35744</v>
      </c>
      <c r="D25" s="1280">
        <f t="shared" si="0"/>
        <v>-12.94</v>
      </c>
      <c r="E25" s="1277" t="s">
        <v>1573</v>
      </c>
      <c r="F25" s="1277">
        <v>1</v>
      </c>
    </row>
    <row r="26" spans="1:6" ht="12.75" customHeight="1">
      <c r="A26" s="843" t="s">
        <v>715</v>
      </c>
      <c r="B26" s="1279" t="str">
        <f>IF(ISERROR('IND 3.1.1-3.4.3'!B37/'IND 1.1.4'!C50),"",ROUND('IND 3.1.1-3.4.3'!B37/'IND 1.1.4'!C50,0))</f>
        <v/>
      </c>
      <c r="C26" s="1279">
        <f>IF(ISERROR('IND 3.1.1-3.4.3'!C37/'IND 1.1.4'!D50), "", ROUND('IND 3.1.1-3.4.3'!C37/'IND 1.1.4'!D50,0))</f>
        <v>31033</v>
      </c>
      <c r="D26" s="1280" t="str">
        <f t="shared" si="0"/>
        <v/>
      </c>
      <c r="E26" s="1277" t="s">
        <v>1573</v>
      </c>
      <c r="F26" s="1277">
        <v>2</v>
      </c>
    </row>
    <row r="27" spans="1:6" ht="12.75" customHeight="1">
      <c r="A27" s="843" t="s">
        <v>670</v>
      </c>
      <c r="B27" s="1279" t="str">
        <f>IF(ISERROR('IND 3.1.1-3.4.3'!B38/'IND 1.1.4'!C51),"",ROUND('IND 3.1.1-3.4.3'!B38/'IND 1.1.4'!C51,0))</f>
        <v/>
      </c>
      <c r="C27" s="1279">
        <f>IF(ISERROR('IND 3.1.1-3.4.3'!C38/'IND 1.1.4'!D51), "", ROUND('IND 3.1.1-3.4.3'!C38/'IND 1.1.4'!D51,0))</f>
        <v>25273</v>
      </c>
      <c r="D27" s="1280" t="str">
        <f t="shared" si="0"/>
        <v/>
      </c>
      <c r="E27" s="1277" t="s">
        <v>1573</v>
      </c>
      <c r="F27" s="1277">
        <v>3</v>
      </c>
    </row>
    <row r="28" spans="1:6" ht="12.75" customHeight="1">
      <c r="A28" s="1284" t="s">
        <v>1574</v>
      </c>
      <c r="B28" s="1279">
        <f>IF(ISERROR('IND 3.1.1-3.4.3'!B39/'IND 1.1.4'!C52),"",ROUND('IND 3.1.1-3.4.3'!B39/'IND 1.1.4'!C52,0))</f>
        <v>43584</v>
      </c>
      <c r="C28" s="1279">
        <f>IF(ISERROR('IND 3.1.1-3.4.3'!C39/'IND 1.1.4'!D52), "", ROUND('IND 3.1.1-3.4.3'!C39/'IND 1.1.4'!D52,0))</f>
        <v>31560</v>
      </c>
      <c r="D28" s="1280">
        <f t="shared" si="0"/>
        <v>27.59</v>
      </c>
      <c r="E28" s="1277" t="s">
        <v>2126</v>
      </c>
      <c r="F28" s="1277">
        <v>0</v>
      </c>
    </row>
    <row r="29" spans="1:6" ht="12.75" customHeight="1">
      <c r="A29" s="843" t="s">
        <v>714</v>
      </c>
      <c r="B29" s="1279">
        <f>IF(ISERROR('IND 3.1.1-3.4.3'!B40/'IND 1.1.4'!C53),"",ROUND('IND 3.1.1-3.4.3'!B40/'IND 1.1.4'!C53,0))</f>
        <v>87828</v>
      </c>
      <c r="C29" s="1279">
        <f>IF(ISERROR('IND 3.1.1-3.4.3'!C40/'IND 1.1.4'!D53), "", ROUND('IND 3.1.1-3.4.3'!C40/'IND 1.1.4'!D53,0))</f>
        <v>45626</v>
      </c>
      <c r="D29" s="1280">
        <f t="shared" si="0"/>
        <v>48.05</v>
      </c>
      <c r="E29" s="1277" t="s">
        <v>2126</v>
      </c>
      <c r="F29" s="1277">
        <v>1</v>
      </c>
    </row>
    <row r="30" spans="1:6" ht="12.75" customHeight="1">
      <c r="A30" s="843" t="s">
        <v>715</v>
      </c>
      <c r="B30" s="1279" t="str">
        <f>IF(ISERROR('IND 3.1.1-3.4.3'!B41/'IND 1.1.4'!C54),"",ROUND('IND 3.1.1-3.4.3'!B41/'IND 1.1.4'!C54,0))</f>
        <v/>
      </c>
      <c r="C30" s="1279" t="str">
        <f>IF(ISERROR('IND 3.1.1-3.4.3'!C41/'IND 1.1.4'!D54), "", ROUND('IND 3.1.1-3.4.3'!C41/'IND 1.1.4'!D54,0))</f>
        <v/>
      </c>
      <c r="D30" s="1280" t="str">
        <f t="shared" si="0"/>
        <v/>
      </c>
      <c r="E30" s="1277" t="s">
        <v>2126</v>
      </c>
      <c r="F30" s="1277">
        <v>2</v>
      </c>
    </row>
    <row r="31" spans="1:6" ht="12.75" customHeight="1">
      <c r="A31" s="843" t="s">
        <v>670</v>
      </c>
      <c r="B31" s="1279">
        <f>IF(ISERROR('IND 3.1.1-3.4.3'!B42/'IND 1.1.4'!C55),"",ROUND('IND 3.1.1-3.4.3'!B42/'IND 1.1.4'!C55,0))</f>
        <v>28836</v>
      </c>
      <c r="C31" s="1279">
        <f>IF(ISERROR('IND 3.1.1-3.4.3'!C42/'IND 1.1.4'!D55), "", ROUND('IND 3.1.1-3.4.3'!C42/'IND 1.1.4'!D55,0))</f>
        <v>28682</v>
      </c>
      <c r="D31" s="1280">
        <f t="shared" si="0"/>
        <v>0.53</v>
      </c>
      <c r="E31" s="1277" t="s">
        <v>2126</v>
      </c>
      <c r="F31" s="1277">
        <v>3</v>
      </c>
    </row>
    <row r="32" spans="1:6" ht="12.75" customHeight="1">
      <c r="A32" s="1284" t="s">
        <v>2127</v>
      </c>
      <c r="B32" s="1279" t="str">
        <f>IF(ISERROR('IND 3.1.1-3.4.3'!B43/'IND 1.1.4'!C56),"",ROUND('IND 3.1.1-3.4.3'!B43/'IND 1.1.4'!C56,0))</f>
        <v/>
      </c>
      <c r="C32" s="1279" t="str">
        <f>IF(ISERROR('IND 3.1.1-3.4.3'!C43/'IND 1.1.4'!D56), "", ROUND('IND 3.1.1-3.4.3'!C43/'IND 1.1.4'!D56,0))</f>
        <v/>
      </c>
      <c r="D32" s="1280" t="str">
        <f t="shared" si="0"/>
        <v/>
      </c>
      <c r="E32" s="1277" t="s">
        <v>1649</v>
      </c>
      <c r="F32" s="1277">
        <v>0</v>
      </c>
    </row>
    <row r="33" spans="1:6" ht="12.75" customHeight="1">
      <c r="A33" s="843" t="s">
        <v>714</v>
      </c>
      <c r="B33" s="1279" t="str">
        <f>IF(ISERROR('IND 3.1.1-3.4.3'!B44/'IND 1.1.4'!C57),"",ROUND('IND 3.1.1-3.4.3'!B44/'IND 1.1.4'!C57,0))</f>
        <v/>
      </c>
      <c r="C33" s="1279" t="str">
        <f>IF(ISERROR('IND 3.1.1-3.4.3'!C44/'IND 1.1.4'!D57), "", ROUND('IND 3.1.1-3.4.3'!C44/'IND 1.1.4'!D57,0))</f>
        <v/>
      </c>
      <c r="D33" s="1280" t="str">
        <f t="shared" si="0"/>
        <v/>
      </c>
      <c r="E33" s="1277" t="s">
        <v>1649</v>
      </c>
      <c r="F33" s="1277">
        <v>1</v>
      </c>
    </row>
    <row r="34" spans="1:6" ht="12.75" customHeight="1">
      <c r="A34" s="843" t="s">
        <v>715</v>
      </c>
      <c r="B34" s="1279" t="str">
        <f>IF(ISERROR('IND 3.1.1-3.4.3'!B45/'IND 1.1.4'!C58),"",ROUND('IND 3.1.1-3.4.3'!B45/'IND 1.1.4'!C58,0))</f>
        <v/>
      </c>
      <c r="C34" s="1279" t="str">
        <f>IF(ISERROR('IND 3.1.1-3.4.3'!C45/'IND 1.1.4'!D58), "", ROUND('IND 3.1.1-3.4.3'!C45/'IND 1.1.4'!D58,0))</f>
        <v/>
      </c>
      <c r="D34" s="1280" t="str">
        <f t="shared" si="0"/>
        <v/>
      </c>
      <c r="E34" s="1277" t="s">
        <v>1649</v>
      </c>
      <c r="F34" s="1277">
        <v>2</v>
      </c>
    </row>
    <row r="35" spans="1:6" ht="12.75" customHeight="1">
      <c r="A35" s="843" t="s">
        <v>670</v>
      </c>
      <c r="B35" s="1279" t="str">
        <f>IF(ISERROR('IND 3.1.1-3.4.3'!B46/'IND 1.1.4'!C59),"",ROUND('IND 3.1.1-3.4.3'!B46/'IND 1.1.4'!C59,0))</f>
        <v/>
      </c>
      <c r="C35" s="1279" t="str">
        <f>IF(ISERROR('IND 3.1.1-3.4.3'!C46/'IND 1.1.4'!D59), "", ROUND('IND 3.1.1-3.4.3'!C46/'IND 1.1.4'!D59,0))</f>
        <v/>
      </c>
      <c r="D35" s="1280" t="str">
        <f t="shared" si="0"/>
        <v/>
      </c>
      <c r="E35" s="1277" t="s">
        <v>1649</v>
      </c>
      <c r="F35" s="1277">
        <v>3</v>
      </c>
    </row>
    <row r="36" spans="1:6" ht="12.75" customHeight="1">
      <c r="A36" s="1284" t="s">
        <v>1650</v>
      </c>
      <c r="B36" s="1279">
        <f>IF(ISERROR('IND 3.1.1-3.4.3'!B47/'IND 1.1.4'!C60),"",ROUND('IND 3.1.1-3.4.3'!B47/'IND 1.1.4'!C60,0))</f>
        <v>37047</v>
      </c>
      <c r="C36" s="1279">
        <f>IF(ISERROR('IND 3.1.1-3.4.3'!C47/'IND 1.1.4'!D60), "", ROUND('IND 3.1.1-3.4.3'!C47/'IND 1.1.4'!D60,0))</f>
        <v>32148</v>
      </c>
      <c r="D36" s="1280">
        <f t="shared" si="0"/>
        <v>13.22</v>
      </c>
      <c r="E36" s="1277" t="s">
        <v>316</v>
      </c>
      <c r="F36" s="1277">
        <v>0</v>
      </c>
    </row>
    <row r="37" spans="1:6" ht="12.75" customHeight="1">
      <c r="A37" s="843" t="s">
        <v>714</v>
      </c>
      <c r="B37" s="1279">
        <f>IF(ISERROR('IND 3.1.1-3.4.3'!B48/'IND 1.1.4'!C61),"",ROUND('IND 3.1.1-3.4.3'!B48/'IND 1.1.4'!C61,0))</f>
        <v>63404</v>
      </c>
      <c r="C37" s="1279">
        <f>IF(ISERROR('IND 3.1.1-3.4.3'!C48/'IND 1.1.4'!D61), "", ROUND('IND 3.1.1-3.4.3'!C48/'IND 1.1.4'!D61,0))</f>
        <v>41892</v>
      </c>
      <c r="D37" s="1280">
        <f t="shared" si="0"/>
        <v>33.93</v>
      </c>
      <c r="E37" s="1277" t="s">
        <v>316</v>
      </c>
      <c r="F37" s="1277">
        <v>1</v>
      </c>
    </row>
    <row r="38" spans="1:6" ht="12.75" customHeight="1">
      <c r="A38" s="843" t="s">
        <v>715</v>
      </c>
      <c r="B38" s="1279">
        <f>IF(ISERROR('IND 3.1.1-3.4.3'!B49/'IND 1.1.4'!C62),"",ROUND('IND 3.1.1-3.4.3'!B49/'IND 1.1.4'!C62,0))</f>
        <v>46951</v>
      </c>
      <c r="C38" s="1279">
        <f>IF(ISERROR('IND 3.1.1-3.4.3'!C49/'IND 1.1.4'!D62), "", ROUND('IND 3.1.1-3.4.3'!C49/'IND 1.1.4'!D62,0))</f>
        <v>41672</v>
      </c>
      <c r="D38" s="1280">
        <f t="shared" si="0"/>
        <v>11.24</v>
      </c>
      <c r="E38" s="1277" t="s">
        <v>316</v>
      </c>
      <c r="F38" s="1277">
        <v>2</v>
      </c>
    </row>
    <row r="39" spans="1:6" ht="12.75" customHeight="1">
      <c r="A39" s="843" t="s">
        <v>670</v>
      </c>
      <c r="B39" s="1279">
        <f>IF(ISERROR('IND 3.1.1-3.4.3'!B50/'IND 1.1.4'!C63),"",ROUND('IND 3.1.1-3.4.3'!B50/'IND 1.1.4'!C63,0))</f>
        <v>35120</v>
      </c>
      <c r="C39" s="1279">
        <f>IF(ISERROR('IND 3.1.1-3.4.3'!C50/'IND 1.1.4'!D63), "", ROUND('IND 3.1.1-3.4.3'!C50/'IND 1.1.4'!D63,0))</f>
        <v>31504</v>
      </c>
      <c r="D39" s="1280">
        <f t="shared" si="0"/>
        <v>10.3</v>
      </c>
      <c r="E39" s="1277" t="s">
        <v>316</v>
      </c>
      <c r="F39" s="1277">
        <v>3</v>
      </c>
    </row>
    <row r="40" spans="1:6" ht="12.75" customHeight="1">
      <c r="A40" s="1285" t="s">
        <v>2192</v>
      </c>
      <c r="B40" s="1279" t="str">
        <f>IF(ISERROR('IND 3.1.1-3.4.3'!B51/'IND 1.1.4'!C64),"",ROUND('IND 3.1.1-3.4.3'!B51/'IND 1.1.4'!C64,0))</f>
        <v/>
      </c>
      <c r="C40" s="1279" t="str">
        <f>IF(ISERROR('IND 3.1.1-3.4.3'!C51/'IND 1.1.4'!D64), "", ROUND('IND 3.1.1-3.4.3'!C51/'IND 1.1.4'!D64,0))</f>
        <v/>
      </c>
      <c r="D40" s="1280" t="str">
        <f t="shared" si="0"/>
        <v/>
      </c>
      <c r="E40" s="1277" t="s">
        <v>1081</v>
      </c>
      <c r="F40" s="1277">
        <v>0</v>
      </c>
    </row>
    <row r="41" spans="1:6" ht="12.75" customHeight="1">
      <c r="A41" s="843" t="s">
        <v>714</v>
      </c>
      <c r="B41" s="1279" t="str">
        <f>IF(ISERROR('IND 3.1.1-3.4.3'!B52/'IND 1.1.4'!C65),"",ROUND('IND 3.1.1-3.4.3'!B52/'IND 1.1.4'!C65,0))</f>
        <v/>
      </c>
      <c r="C41" s="1279" t="str">
        <f>IF(ISERROR('IND 3.1.1-3.4.3'!C52/'IND 1.1.4'!D65), "", ROUND('IND 3.1.1-3.4.3'!C52/'IND 1.1.4'!D65,0))</f>
        <v/>
      </c>
      <c r="D41" s="1280" t="str">
        <f t="shared" si="0"/>
        <v/>
      </c>
      <c r="E41" s="1277" t="s">
        <v>1081</v>
      </c>
      <c r="F41" s="1277">
        <v>1</v>
      </c>
    </row>
    <row r="42" spans="1:6" ht="12.75" customHeight="1">
      <c r="A42" s="843" t="s">
        <v>715</v>
      </c>
      <c r="B42" s="1279" t="str">
        <f>IF(ISERROR('IND 3.1.1-3.4.3'!B53/'IND 1.1.4'!C66),"",ROUND('IND 3.1.1-3.4.3'!B53/'IND 1.1.4'!C66,0))</f>
        <v/>
      </c>
      <c r="C42" s="1279" t="str">
        <f>IF(ISERROR('IND 3.1.1-3.4.3'!C53/'IND 1.1.4'!D66), "", ROUND('IND 3.1.1-3.4.3'!C53/'IND 1.1.4'!D66,0))</f>
        <v/>
      </c>
      <c r="D42" s="1280" t="str">
        <f t="shared" si="0"/>
        <v/>
      </c>
      <c r="E42" s="1277" t="s">
        <v>1081</v>
      </c>
      <c r="F42" s="1277">
        <v>2</v>
      </c>
    </row>
    <row r="43" spans="1:6" ht="12.75" customHeight="1">
      <c r="A43" s="843" t="s">
        <v>670</v>
      </c>
      <c r="B43" s="1279" t="str">
        <f>IF(ISERROR('IND 3.1.1-3.4.3'!B54/'IND 1.1.4'!C67),"",ROUND('IND 3.1.1-3.4.3'!B54/'IND 1.1.4'!C67,0))</f>
        <v/>
      </c>
      <c r="C43" s="1279" t="str">
        <f>IF(ISERROR('IND 3.1.1-3.4.3'!C54/'IND 1.1.4'!D67), "", ROUND('IND 3.1.1-3.4.3'!C54/'IND 1.1.4'!D67,0))</f>
        <v/>
      </c>
      <c r="D43" s="1280" t="str">
        <f t="shared" si="0"/>
        <v/>
      </c>
      <c r="E43" s="1277" t="s">
        <v>1081</v>
      </c>
      <c r="F43" s="1277">
        <v>3</v>
      </c>
    </row>
    <row r="44" spans="1:6" ht="12.75" customHeight="1">
      <c r="A44" s="1285" t="s">
        <v>1082</v>
      </c>
      <c r="B44" s="1279">
        <f>IF(ISERROR('IND 3.1.1-3.4.3'!B55/'IND 1.1.4'!C68),"",ROUND('IND 3.1.1-3.4.3'!B55/'IND 1.1.4'!C68,0))</f>
        <v>25160</v>
      </c>
      <c r="C44" s="1279">
        <f>IF(ISERROR('IND 3.1.1-3.4.3'!C55/'IND 1.1.4'!D68), "", ROUND('IND 3.1.1-3.4.3'!C55/'IND 1.1.4'!D68,0))</f>
        <v>23741</v>
      </c>
      <c r="D44" s="1280">
        <f t="shared" si="0"/>
        <v>5.64</v>
      </c>
      <c r="E44" s="1277" t="s">
        <v>694</v>
      </c>
      <c r="F44" s="1277">
        <v>0</v>
      </c>
    </row>
    <row r="45" spans="1:6" ht="12.75" customHeight="1">
      <c r="A45" s="843" t="s">
        <v>715</v>
      </c>
      <c r="B45" s="1279">
        <f>IF(ISERROR('IND 3.1.1-3.4.3'!B56/'IND 1.1.4'!C69),"",ROUND('IND 3.1.1-3.4.3'!B56/'IND 1.1.4'!C69,0))</f>
        <v>31468</v>
      </c>
      <c r="C45" s="1279">
        <f>IF(ISERROR('IND 3.1.1-3.4.3'!C56/'IND 1.1.4'!D69), "", ROUND('IND 3.1.1-3.4.3'!C56/'IND 1.1.4'!D69,0))</f>
        <v>26372</v>
      </c>
      <c r="D45" s="1280">
        <f t="shared" si="0"/>
        <v>16.190000000000001</v>
      </c>
      <c r="E45" s="1277" t="s">
        <v>694</v>
      </c>
      <c r="F45" s="1277">
        <v>2</v>
      </c>
    </row>
    <row r="46" spans="1:6" ht="12.75" customHeight="1">
      <c r="A46" s="843" t="s">
        <v>670</v>
      </c>
      <c r="B46" s="1279">
        <f>IF(ISERROR('IND 3.1.1-3.4.3'!B57/'IND 1.1.4'!C70),"",ROUND('IND 3.1.1-3.4.3'!B57/'IND 1.1.4'!C70,0))</f>
        <v>24222</v>
      </c>
      <c r="C46" s="1279">
        <f>IF(ISERROR('IND 3.1.1-3.4.3'!C57/'IND 1.1.4'!D70), "", ROUND('IND 3.1.1-3.4.3'!C57/'IND 1.1.4'!D70,0))</f>
        <v>23351</v>
      </c>
      <c r="D46" s="1280">
        <f t="shared" si="0"/>
        <v>3.6</v>
      </c>
      <c r="E46" s="1277" t="s">
        <v>694</v>
      </c>
      <c r="F46" s="1277">
        <v>3</v>
      </c>
    </row>
    <row r="47" spans="1:6" ht="12.75" customHeight="1">
      <c r="A47" s="1286" t="s">
        <v>768</v>
      </c>
      <c r="B47" s="1279">
        <f>IF(ISERROR('IND 3.1.1-3.4.3'!B58/'IND 1.1.4'!C72),"",ROUND('IND 3.1.1-3.4.3'!B58/'IND 1.1.4'!C72,0))</f>
        <v>33037</v>
      </c>
      <c r="C47" s="1279">
        <f>IF(ISERROR('IND 3.1.1-3.4.3'!C58/'IND 1.1.4'!D72), "", ROUND('IND 3.1.1-3.4.3'!C58/'IND 1.1.4'!D72,0))</f>
        <v>28230</v>
      </c>
      <c r="D47" s="1280">
        <f t="shared" si="0"/>
        <v>14.55</v>
      </c>
      <c r="E47" s="1287" t="s">
        <v>697</v>
      </c>
      <c r="F47" s="1277">
        <v>0</v>
      </c>
    </row>
    <row r="48" spans="1:6" ht="12.75" customHeight="1">
      <c r="A48" s="5"/>
      <c r="B48" s="5"/>
      <c r="C48" s="5"/>
      <c r="D48" s="5"/>
    </row>
    <row r="49" spans="1:6" ht="26.25" customHeight="1">
      <c r="A49" s="27" t="s">
        <v>1136</v>
      </c>
      <c r="B49" s="1275" t="s">
        <v>526</v>
      </c>
      <c r="C49" s="1275" t="s">
        <v>527</v>
      </c>
      <c r="D49" s="1276" t="s">
        <v>2048</v>
      </c>
      <c r="E49" s="1277" t="s">
        <v>1994</v>
      </c>
      <c r="F49" s="1277" t="s">
        <v>1730</v>
      </c>
    </row>
    <row r="50" spans="1:6" ht="12.75" customHeight="1">
      <c r="A50" s="1278" t="s">
        <v>1915</v>
      </c>
      <c r="B50" s="1288">
        <f>IF(ISERROR('IND 3.1.1-3.4.3'!B67/'IND 1.2.4'!C31),"",ROUND('IND 3.1.1-3.4.3'!B67/'IND 1.2.4'!C31,0))</f>
        <v>41028</v>
      </c>
      <c r="C50" s="1288">
        <f>IF(ISERROR('IND 3.1.1-3.4.3'!C67/'IND 1.2.4'!D31),"",ROUND('IND 3.1.1-3.4.3'!C67/'IND 1.2.4'!D31,0))</f>
        <v>38508</v>
      </c>
      <c r="D50" s="1289">
        <f>IF(ISERROR((B50-C50)/B50*100),"",ROUND((B50-C50)/B50*100,2))</f>
        <v>6.14</v>
      </c>
      <c r="E50" s="1277" t="s">
        <v>1852</v>
      </c>
      <c r="F50" s="1277">
        <v>0</v>
      </c>
    </row>
    <row r="51" spans="1:6" ht="12.75" customHeight="1">
      <c r="A51" s="1290" t="s">
        <v>714</v>
      </c>
      <c r="B51" s="1288">
        <f>IF(ISERROR('IND 3.1.1-3.4.3'!B68/'IND 1.2.4'!C32),"",ROUND('IND 3.1.1-3.4.3'!B68/'IND 1.2.4'!C32,0))</f>
        <v>78453</v>
      </c>
      <c r="C51" s="1288">
        <f>IF(ISERROR('IND 3.1.1-3.4.3'!C68/'IND 1.2.4'!D32),"",ROUND('IND 3.1.1-3.4.3'!C68/'IND 1.2.4'!D32,0))</f>
        <v>56784</v>
      </c>
      <c r="D51" s="1289">
        <f t="shared" ref="D51:D89" si="1">IF(ISERROR((B51-C51)/B51*100),"",ROUND((B51-C51)/B51*100,2))</f>
        <v>27.62</v>
      </c>
      <c r="E51" s="1277" t="s">
        <v>1852</v>
      </c>
      <c r="F51" s="1277">
        <v>1</v>
      </c>
    </row>
    <row r="52" spans="1:6" ht="12.75" customHeight="1">
      <c r="A52" s="1290" t="s">
        <v>715</v>
      </c>
      <c r="B52" s="1288">
        <f>IF(ISERROR('IND 3.1.1-3.4.3'!B69/'IND 1.2.4'!C33),"",ROUND('IND 3.1.1-3.4.3'!B69/'IND 1.2.4'!C33,0))</f>
        <v>50569</v>
      </c>
      <c r="C52" s="1288">
        <f>IF(ISERROR('IND 3.1.1-3.4.3'!C69/'IND 1.2.4'!D33),"",ROUND('IND 3.1.1-3.4.3'!C69/'IND 1.2.4'!D33,0))</f>
        <v>49628</v>
      </c>
      <c r="D52" s="1289">
        <f t="shared" si="1"/>
        <v>1.86</v>
      </c>
      <c r="E52" s="1277" t="s">
        <v>1852</v>
      </c>
      <c r="F52" s="1277">
        <v>2</v>
      </c>
    </row>
    <row r="53" spans="1:6" ht="12.75" customHeight="1">
      <c r="A53" s="1290" t="s">
        <v>670</v>
      </c>
      <c r="B53" s="1288">
        <f>IF(ISERROR('IND 3.1.1-3.4.3'!B70/'IND 1.2.4'!C34),"",ROUND('IND 3.1.1-3.4.3'!B70/'IND 1.2.4'!C34,0))</f>
        <v>26957</v>
      </c>
      <c r="C53" s="1288">
        <f>IF(ISERROR('IND 3.1.1-3.4.3'!C70/'IND 1.2.4'!D34),"",ROUND('IND 3.1.1-3.4.3'!C70/'IND 1.2.4'!D34,0))</f>
        <v>27443</v>
      </c>
      <c r="D53" s="1289">
        <f t="shared" si="1"/>
        <v>-1.8</v>
      </c>
      <c r="E53" s="1277" t="s">
        <v>1852</v>
      </c>
      <c r="F53" s="1277">
        <v>3</v>
      </c>
    </row>
    <row r="54" spans="1:6" ht="12.75" customHeight="1">
      <c r="A54" s="1281" t="s">
        <v>673</v>
      </c>
      <c r="B54" s="1288">
        <f>IF(ISERROR('IND 3.1.1-3.4.3'!B71/'IND 1.2.4'!C35),"",ROUND('IND 3.1.1-3.4.3'!B71/'IND 1.2.4'!C35,0))</f>
        <v>36706</v>
      </c>
      <c r="C54" s="1288">
        <f>IF(ISERROR('IND 3.1.1-3.4.3'!C71/'IND 1.2.4'!D35),"",ROUND('IND 3.1.1-3.4.3'!C71/'IND 1.2.4'!D35,0))</f>
        <v>24665</v>
      </c>
      <c r="D54" s="1289">
        <f t="shared" si="1"/>
        <v>32.799999999999997</v>
      </c>
      <c r="E54" s="1277" t="s">
        <v>1249</v>
      </c>
      <c r="F54" s="1277">
        <v>0</v>
      </c>
    </row>
    <row r="55" spans="1:6" ht="12.75" customHeight="1">
      <c r="A55" s="1290" t="s">
        <v>714</v>
      </c>
      <c r="B55" s="1288">
        <f>IF(ISERROR('IND 3.1.1-3.4.3'!B72/'IND 1.2.4'!C36),"",ROUND('IND 3.1.1-3.4.3'!B72/'IND 1.2.4'!C36,0))</f>
        <v>77597</v>
      </c>
      <c r="C55" s="1288">
        <f>IF(ISERROR('IND 3.1.1-3.4.3'!C72/'IND 1.2.4'!D36),"",ROUND('IND 3.1.1-3.4.3'!C72/'IND 1.2.4'!D36,0))</f>
        <v>36963</v>
      </c>
      <c r="D55" s="1289">
        <f t="shared" si="1"/>
        <v>52.37</v>
      </c>
      <c r="E55" s="1277" t="s">
        <v>1249</v>
      </c>
      <c r="F55" s="1277">
        <v>1</v>
      </c>
    </row>
    <row r="56" spans="1:6" ht="12.75" customHeight="1">
      <c r="A56" s="1290" t="s">
        <v>715</v>
      </c>
      <c r="B56" s="1288">
        <f>IF(ISERROR('IND 3.1.1-3.4.3'!B73/'IND 1.2.4'!C37),"",ROUND('IND 3.1.1-3.4.3'!B73/'IND 1.2.4'!C37,0))</f>
        <v>38251</v>
      </c>
      <c r="C56" s="1288">
        <f>IF(ISERROR('IND 3.1.1-3.4.3'!C73/'IND 1.2.4'!D37),"",ROUND('IND 3.1.1-3.4.3'!C73/'IND 1.2.4'!D37,0))</f>
        <v>37158</v>
      </c>
      <c r="D56" s="1289">
        <f t="shared" si="1"/>
        <v>2.86</v>
      </c>
      <c r="E56" s="1277" t="s">
        <v>1249</v>
      </c>
      <c r="F56" s="1277">
        <v>2</v>
      </c>
    </row>
    <row r="57" spans="1:6" ht="12.75" customHeight="1">
      <c r="A57" s="1290" t="s">
        <v>670</v>
      </c>
      <c r="B57" s="1288">
        <f>IF(ISERROR('IND 3.1.1-3.4.3'!B74/'IND 1.2.4'!C38),"",ROUND('IND 3.1.1-3.4.3'!B74/'IND 1.2.4'!C38,0))</f>
        <v>29801</v>
      </c>
      <c r="C57" s="1288">
        <f>IF(ISERROR('IND 3.1.1-3.4.3'!C74/'IND 1.2.4'!D38),"",ROUND('IND 3.1.1-3.4.3'!C74/'IND 1.2.4'!D38,0))</f>
        <v>23920</v>
      </c>
      <c r="D57" s="1289">
        <f t="shared" si="1"/>
        <v>19.73</v>
      </c>
      <c r="E57" s="1277" t="s">
        <v>1249</v>
      </c>
      <c r="F57" s="1277">
        <v>3</v>
      </c>
    </row>
    <row r="58" spans="1:6" ht="12.75" customHeight="1">
      <c r="A58" s="1282" t="s">
        <v>1250</v>
      </c>
      <c r="B58" s="1288">
        <f>IF(ISERROR('IND 3.1.1-3.4.3'!B75/'IND 1.2.4'!C39),"",ROUND('IND 3.1.1-3.4.3'!B75/'IND 1.2.4'!C39,0))</f>
        <v>29658</v>
      </c>
      <c r="C58" s="1288">
        <f>IF(ISERROR('IND 3.1.1-3.4.3'!C75/'IND 1.2.4'!D39),"",ROUND('IND 3.1.1-3.4.3'!C75/'IND 1.2.4'!D39,0))</f>
        <v>25700</v>
      </c>
      <c r="D58" s="1289">
        <f t="shared" si="1"/>
        <v>13.35</v>
      </c>
      <c r="E58" s="1277" t="s">
        <v>375</v>
      </c>
      <c r="F58" s="1277">
        <v>0</v>
      </c>
    </row>
    <row r="59" spans="1:6" ht="12.75" customHeight="1">
      <c r="A59" s="1290" t="s">
        <v>714</v>
      </c>
      <c r="B59" s="1288">
        <f>IF(ISERROR('IND 3.1.1-3.4.3'!B76/'IND 1.2.4'!C40),"",ROUND('IND 3.1.1-3.4.3'!B76/'IND 1.2.4'!C40,0))</f>
        <v>32550</v>
      </c>
      <c r="C59" s="1288">
        <f>IF(ISERROR('IND 3.1.1-3.4.3'!C76/'IND 1.2.4'!D40),"",ROUND('IND 3.1.1-3.4.3'!C76/'IND 1.2.4'!D40,0))</f>
        <v>29077</v>
      </c>
      <c r="D59" s="1289">
        <f t="shared" si="1"/>
        <v>10.67</v>
      </c>
      <c r="E59" s="1277" t="s">
        <v>375</v>
      </c>
      <c r="F59" s="1277">
        <v>1</v>
      </c>
    </row>
    <row r="60" spans="1:6" ht="12.75" customHeight="1">
      <c r="A60" s="1290" t="s">
        <v>715</v>
      </c>
      <c r="B60" s="1288">
        <f>IF(ISERROR('IND 3.1.1-3.4.3'!B77/'IND 1.2.4'!C41),"",ROUND('IND 3.1.1-3.4.3'!B77/'IND 1.2.4'!C41,0))</f>
        <v>27162</v>
      </c>
      <c r="C60" s="1288">
        <f>IF(ISERROR('IND 3.1.1-3.4.3'!C77/'IND 1.2.4'!D41),"",ROUND('IND 3.1.1-3.4.3'!C77/'IND 1.2.4'!D41,0))</f>
        <v>25030</v>
      </c>
      <c r="D60" s="1289">
        <f t="shared" si="1"/>
        <v>7.85</v>
      </c>
      <c r="E60" s="1277" t="s">
        <v>375</v>
      </c>
      <c r="F60" s="1277">
        <v>2</v>
      </c>
    </row>
    <row r="61" spans="1:6" ht="12.75" customHeight="1">
      <c r="A61" s="1290" t="s">
        <v>670</v>
      </c>
      <c r="B61" s="1288">
        <f>IF(ISERROR('IND 3.1.1-3.4.3'!B78/'IND 1.2.4'!C42),"",ROUND('IND 3.1.1-3.4.3'!B78/'IND 1.2.4'!C42,0))</f>
        <v>30354</v>
      </c>
      <c r="C61" s="1288">
        <f>IF(ISERROR('IND 3.1.1-3.4.3'!C78/'IND 1.2.4'!D42),"",ROUND('IND 3.1.1-3.4.3'!C78/'IND 1.2.4'!D42,0))</f>
        <v>21905</v>
      </c>
      <c r="D61" s="1289">
        <f t="shared" si="1"/>
        <v>27.83</v>
      </c>
      <c r="E61" s="1277" t="s">
        <v>375</v>
      </c>
      <c r="F61" s="1277">
        <v>3</v>
      </c>
    </row>
    <row r="62" spans="1:6" ht="12.75" customHeight="1">
      <c r="A62" s="1283" t="s">
        <v>376</v>
      </c>
      <c r="B62" s="1288">
        <f>IF(ISERROR('IND 3.1.1-3.4.3'!B79/'IND 1.2.4'!C43),"",ROUND('IND 3.1.1-3.4.3'!B79/'IND 1.2.4'!C43,0))</f>
        <v>27522</v>
      </c>
      <c r="C62" s="1288">
        <f>IF(ISERROR('IND 3.1.1-3.4.3'!C79/'IND 1.2.4'!D43),"",ROUND('IND 3.1.1-3.4.3'!C79/'IND 1.2.4'!D43,0))</f>
        <v>27072</v>
      </c>
      <c r="D62" s="1289">
        <f t="shared" si="1"/>
        <v>1.64</v>
      </c>
      <c r="E62" s="1277" t="s">
        <v>1194</v>
      </c>
      <c r="F62" s="1277">
        <v>0</v>
      </c>
    </row>
    <row r="63" spans="1:6" ht="12.75" customHeight="1">
      <c r="A63" s="1290" t="s">
        <v>714</v>
      </c>
      <c r="B63" s="1288" t="str">
        <f>IF(ISERROR('IND 3.1.1-3.4.3'!B80/'IND 1.2.4'!C44),"",ROUND('IND 3.1.1-3.4.3'!B80/'IND 1.2.4'!C44,0))</f>
        <v/>
      </c>
      <c r="C63" s="1288" t="str">
        <f>IF(ISERROR('IND 3.1.1-3.4.3'!C80/'IND 1.2.4'!D44),"",ROUND('IND 3.1.1-3.4.3'!C80/'IND 1.2.4'!D44,0))</f>
        <v/>
      </c>
      <c r="D63" s="1289" t="str">
        <f t="shared" si="1"/>
        <v/>
      </c>
      <c r="E63" s="1277" t="s">
        <v>1194</v>
      </c>
      <c r="F63" s="1277">
        <v>1</v>
      </c>
    </row>
    <row r="64" spans="1:6" ht="12.75" customHeight="1">
      <c r="A64" s="1290" t="s">
        <v>715</v>
      </c>
      <c r="B64" s="1288">
        <f>IF(ISERROR('IND 3.1.1-3.4.3'!B81/'IND 1.2.4'!C45),"",ROUND('IND 3.1.1-3.4.3'!B81/'IND 1.2.4'!C45,0))</f>
        <v>27522</v>
      </c>
      <c r="C64" s="1288">
        <f>IF(ISERROR('IND 3.1.1-3.4.3'!C81/'IND 1.2.4'!D45),"",ROUND('IND 3.1.1-3.4.3'!C81/'IND 1.2.4'!D45,0))</f>
        <v>27475</v>
      </c>
      <c r="D64" s="1289">
        <f t="shared" si="1"/>
        <v>0.17</v>
      </c>
      <c r="E64" s="1277" t="s">
        <v>1194</v>
      </c>
      <c r="F64" s="1277">
        <v>2</v>
      </c>
    </row>
    <row r="65" spans="1:6" ht="12.75" customHeight="1">
      <c r="A65" s="1290" t="s">
        <v>670</v>
      </c>
      <c r="B65" s="1288" t="str">
        <f>IF(ISERROR('IND 3.1.1-3.4.3'!B82/'IND 1.2.4'!C46),"",ROUND('IND 3.1.1-3.4.3'!B82/'IND 1.2.4'!C46,0))</f>
        <v/>
      </c>
      <c r="C65" s="1288">
        <f>IF(ISERROR('IND 3.1.1-3.4.3'!C82/'IND 1.2.4'!D46),"",ROUND('IND 3.1.1-3.4.3'!C82/'IND 1.2.4'!D46,0))</f>
        <v>22293</v>
      </c>
      <c r="D65" s="1289" t="str">
        <f t="shared" si="1"/>
        <v/>
      </c>
      <c r="E65" s="1277" t="s">
        <v>1194</v>
      </c>
      <c r="F65" s="1277">
        <v>3</v>
      </c>
    </row>
    <row r="66" spans="1:6" ht="12.75" customHeight="1">
      <c r="A66" s="1283" t="s">
        <v>1195</v>
      </c>
      <c r="B66" s="1288" t="str">
        <f>IF(ISERROR('IND 3.1.1-3.4.3'!B83/'IND 1.2.4'!C47),"",ROUND('IND 3.1.1-3.4.3'!B83/'IND 1.2.4'!C47,0))</f>
        <v/>
      </c>
      <c r="C66" s="1288">
        <f>IF(ISERROR('IND 3.1.1-3.4.3'!C83/'IND 1.2.4'!D47),"",ROUND('IND 3.1.1-3.4.3'!C83/'IND 1.2.4'!D47,0))</f>
        <v>24074</v>
      </c>
      <c r="D66" s="1289" t="str">
        <f t="shared" si="1"/>
        <v/>
      </c>
      <c r="E66" s="1277" t="s">
        <v>1573</v>
      </c>
      <c r="F66" s="1277">
        <v>0</v>
      </c>
    </row>
    <row r="67" spans="1:6" ht="12.75" customHeight="1">
      <c r="A67" s="1290" t="s">
        <v>714</v>
      </c>
      <c r="B67" s="1288" t="str">
        <f>IF(ISERROR('IND 3.1.1-3.4.3'!B84/'IND 1.2.4'!C48),"",ROUND('IND 3.1.1-3.4.3'!B84/'IND 1.2.4'!C48,0))</f>
        <v/>
      </c>
      <c r="C67" s="1288">
        <f>IF(ISERROR('IND 3.1.1-3.4.3'!C84/'IND 1.2.4'!D48),"",ROUND('IND 3.1.1-3.4.3'!C84/'IND 1.2.4'!D48,0))</f>
        <v>23353</v>
      </c>
      <c r="D67" s="1289" t="str">
        <f t="shared" si="1"/>
        <v/>
      </c>
      <c r="E67" s="1277" t="s">
        <v>1573</v>
      </c>
      <c r="F67" s="1277">
        <v>1</v>
      </c>
    </row>
    <row r="68" spans="1:6" ht="12.75" customHeight="1">
      <c r="A68" s="1290" t="s">
        <v>715</v>
      </c>
      <c r="B68" s="1288" t="str">
        <f>IF(ISERROR('IND 3.1.1-3.4.3'!B85/'IND 1.2.4'!C49),"",ROUND('IND 3.1.1-3.4.3'!B85/'IND 1.2.4'!C49,0))</f>
        <v/>
      </c>
      <c r="C68" s="1288" t="str">
        <f>IF(ISERROR('IND 3.1.1-3.4.3'!C85/'IND 1.2.4'!D49),"",ROUND('IND 3.1.1-3.4.3'!C85/'IND 1.2.4'!D49,0))</f>
        <v/>
      </c>
      <c r="D68" s="1289" t="str">
        <f t="shared" si="1"/>
        <v/>
      </c>
      <c r="E68" s="1277" t="s">
        <v>1573</v>
      </c>
      <c r="F68" s="1277">
        <v>2</v>
      </c>
    </row>
    <row r="69" spans="1:6" ht="12.75" customHeight="1">
      <c r="A69" s="1290" t="s">
        <v>670</v>
      </c>
      <c r="B69" s="1288" t="str">
        <f>IF(ISERROR('IND 3.1.1-3.4.3'!B86/'IND 1.2.4'!C50),"",ROUND('IND 3.1.1-3.4.3'!B86/'IND 1.2.4'!C50,0))</f>
        <v/>
      </c>
      <c r="C69" s="1288">
        <f>IF(ISERROR('IND 3.1.1-3.4.3'!C86/'IND 1.2.4'!D50),"",ROUND('IND 3.1.1-3.4.3'!C86/'IND 1.2.4'!D50,0))</f>
        <v>24154</v>
      </c>
      <c r="D69" s="1289" t="str">
        <f t="shared" si="1"/>
        <v/>
      </c>
      <c r="E69" s="1277" t="s">
        <v>1573</v>
      </c>
      <c r="F69" s="1277">
        <v>3</v>
      </c>
    </row>
    <row r="70" spans="1:6" ht="12.75" customHeight="1">
      <c r="A70" s="1284" t="s">
        <v>1574</v>
      </c>
      <c r="B70" s="1288">
        <f>IF(ISERROR('IND 3.1.1-3.4.3'!B87/'IND 1.2.4'!C51),"",ROUND('IND 3.1.1-3.4.3'!B87/'IND 1.2.4'!C51,0))</f>
        <v>49927</v>
      </c>
      <c r="C70" s="1288">
        <f>IF(ISERROR('IND 3.1.1-3.4.3'!C87/'IND 1.2.4'!D51),"",ROUND('IND 3.1.1-3.4.3'!C87/'IND 1.2.4'!D51,0))</f>
        <v>26584</v>
      </c>
      <c r="D70" s="1289">
        <f t="shared" si="1"/>
        <v>46.75</v>
      </c>
      <c r="E70" s="1277" t="s">
        <v>2126</v>
      </c>
      <c r="F70" s="1277">
        <v>0</v>
      </c>
    </row>
    <row r="71" spans="1:6" ht="12.75" customHeight="1">
      <c r="A71" s="1290" t="s">
        <v>714</v>
      </c>
      <c r="B71" s="1288">
        <f>IF(ISERROR('IND 3.1.1-3.4.3'!B88/'IND 1.2.4'!C52),"",ROUND('IND 3.1.1-3.4.3'!B88/'IND 1.2.4'!C52,0))</f>
        <v>49927</v>
      </c>
      <c r="C71" s="1288">
        <f>IF(ISERROR('IND 3.1.1-3.4.3'!C88/'IND 1.2.4'!D52),"",ROUND('IND 3.1.1-3.4.3'!C88/'IND 1.2.4'!D52,0))</f>
        <v>53183</v>
      </c>
      <c r="D71" s="1289">
        <f t="shared" si="1"/>
        <v>-6.52</v>
      </c>
      <c r="E71" s="1277" t="s">
        <v>2126</v>
      </c>
      <c r="F71" s="1277">
        <v>1</v>
      </c>
    </row>
    <row r="72" spans="1:6" ht="12.75" customHeight="1">
      <c r="A72" s="1290" t="s">
        <v>715</v>
      </c>
      <c r="B72" s="1288" t="str">
        <f>IF(ISERROR('IND 3.1.1-3.4.3'!B89/'IND 1.2.4'!C53),"",ROUND('IND 3.1.1-3.4.3'!B89/'IND 1.2.4'!C53,0))</f>
        <v/>
      </c>
      <c r="C72" s="1288" t="str">
        <f>IF(ISERROR('IND 3.1.1-3.4.3'!C89/'IND 1.2.4'!D53),"",ROUND('IND 3.1.1-3.4.3'!C89/'IND 1.2.4'!D53,0))</f>
        <v/>
      </c>
      <c r="D72" s="1289" t="str">
        <f t="shared" si="1"/>
        <v/>
      </c>
      <c r="E72" s="1277" t="s">
        <v>2126</v>
      </c>
      <c r="F72" s="1277">
        <v>2</v>
      </c>
    </row>
    <row r="73" spans="1:6" ht="12.75" customHeight="1">
      <c r="A73" s="1290" t="s">
        <v>670</v>
      </c>
      <c r="B73" s="1288" t="str">
        <f>IF(ISERROR('IND 3.1.1-3.4.3'!B90/'IND 1.2.4'!C54),"",ROUND('IND 3.1.1-3.4.3'!B90/'IND 1.2.4'!C54,0))</f>
        <v/>
      </c>
      <c r="C73" s="1288">
        <f>IF(ISERROR('IND 3.1.1-3.4.3'!C90/'IND 1.2.4'!D54),"",ROUND('IND 3.1.1-3.4.3'!C90/'IND 1.2.4'!D54,0))</f>
        <v>24935</v>
      </c>
      <c r="D73" s="1289" t="str">
        <f t="shared" si="1"/>
        <v/>
      </c>
      <c r="E73" s="1277" t="s">
        <v>2126</v>
      </c>
      <c r="F73" s="1277">
        <v>3</v>
      </c>
    </row>
    <row r="74" spans="1:6" ht="12.75" customHeight="1">
      <c r="A74" s="1284" t="s">
        <v>2127</v>
      </c>
      <c r="B74" s="1288">
        <f>IF(ISERROR('IND 3.1.1-3.4.3'!B91/'IND 1.2.4'!C55),"",ROUND('IND 3.1.1-3.4.3'!B91/'IND 1.2.4'!C55,0))</f>
        <v>41822</v>
      </c>
      <c r="C74" s="1288" t="str">
        <f>IF(ISERROR('IND 3.1.1-3.4.3'!C91/'IND 1.2.4'!D55),"",ROUND('IND 3.1.1-3.4.3'!C91/'IND 1.2.4'!D55,0))</f>
        <v/>
      </c>
      <c r="D74" s="1289" t="str">
        <f t="shared" si="1"/>
        <v/>
      </c>
      <c r="E74" s="1277" t="s">
        <v>1649</v>
      </c>
      <c r="F74" s="1277">
        <v>0</v>
      </c>
    </row>
    <row r="75" spans="1:6" ht="12.75" customHeight="1">
      <c r="A75" s="1290" t="s">
        <v>714</v>
      </c>
      <c r="B75" s="1288">
        <f>IF(ISERROR('IND 3.1.1-3.4.3'!B92/'IND 1.2.4'!C56),"",ROUND('IND 3.1.1-3.4.3'!B92/'IND 1.2.4'!C56,0))</f>
        <v>41822</v>
      </c>
      <c r="C75" s="1288" t="str">
        <f>IF(ISERROR('IND 3.1.1-3.4.3'!C92/'IND 1.2.4'!D56),"",ROUND('IND 3.1.1-3.4.3'!C92/'IND 1.2.4'!D56,0))</f>
        <v/>
      </c>
      <c r="D75" s="1289" t="str">
        <f t="shared" si="1"/>
        <v/>
      </c>
      <c r="E75" s="1277" t="s">
        <v>1649</v>
      </c>
      <c r="F75" s="1277">
        <v>1</v>
      </c>
    </row>
    <row r="76" spans="1:6" ht="12.75" customHeight="1">
      <c r="A76" s="1290" t="s">
        <v>715</v>
      </c>
      <c r="B76" s="1288" t="str">
        <f>IF(ISERROR('IND 3.1.1-3.4.3'!B93/'IND 1.2.4'!C57),"",ROUND('IND 3.1.1-3.4.3'!B93/'IND 1.2.4'!C57,0))</f>
        <v/>
      </c>
      <c r="C76" s="1288" t="str">
        <f>IF(ISERROR('IND 3.1.1-3.4.3'!C93/'IND 1.2.4'!D57),"",ROUND('IND 3.1.1-3.4.3'!C93/'IND 1.2.4'!D57,0))</f>
        <v/>
      </c>
      <c r="D76" s="1289" t="str">
        <f t="shared" si="1"/>
        <v/>
      </c>
      <c r="E76" s="1277" t="s">
        <v>1649</v>
      </c>
      <c r="F76" s="1277">
        <v>2</v>
      </c>
    </row>
    <row r="77" spans="1:6" ht="12.75" customHeight="1">
      <c r="A77" s="1290" t="s">
        <v>670</v>
      </c>
      <c r="B77" s="1288" t="str">
        <f>IF(ISERROR('IND 3.1.1-3.4.3'!B94/'IND 1.2.4'!C58),"",ROUND('IND 3.1.1-3.4.3'!B94/'IND 1.2.4'!C58,0))</f>
        <v/>
      </c>
      <c r="C77" s="1288" t="str">
        <f>IF(ISERROR('IND 3.1.1-3.4.3'!C94/'IND 1.2.4'!D58),"",ROUND('IND 3.1.1-3.4.3'!C94/'IND 1.2.4'!D58,0))</f>
        <v/>
      </c>
      <c r="D77" s="1289" t="str">
        <f t="shared" si="1"/>
        <v/>
      </c>
      <c r="E77" s="1277" t="s">
        <v>1649</v>
      </c>
      <c r="F77" s="1277">
        <v>3</v>
      </c>
    </row>
    <row r="78" spans="1:6" ht="12.75" customHeight="1">
      <c r="A78" s="1284" t="s">
        <v>1650</v>
      </c>
      <c r="B78" s="1288" t="str">
        <f>IF(ISERROR('IND 3.1.1-3.4.3'!B95/'IND 1.2.4'!C59),"",ROUND('IND 3.1.1-3.4.3'!B95/'IND 1.2.4'!C59,0))</f>
        <v/>
      </c>
      <c r="C78" s="1288" t="str">
        <f>IF(ISERROR('IND 3.1.1-3.4.3'!C95/'IND 1.2.4'!D59),"",ROUND('IND 3.1.1-3.4.3'!C95/'IND 1.2.4'!D59,0))</f>
        <v/>
      </c>
      <c r="D78" s="1289" t="str">
        <f t="shared" si="1"/>
        <v/>
      </c>
      <c r="E78" s="1277" t="s">
        <v>316</v>
      </c>
      <c r="F78" s="1277">
        <v>0</v>
      </c>
    </row>
    <row r="79" spans="1:6" ht="12.75" customHeight="1">
      <c r="A79" s="1290" t="s">
        <v>714</v>
      </c>
      <c r="B79" s="1288" t="str">
        <f>IF(ISERROR('IND 3.1.1-3.4.3'!B96/'IND 1.2.4'!C60),"",ROUND('IND 3.1.1-3.4.3'!B96/'IND 1.2.4'!C60,0))</f>
        <v/>
      </c>
      <c r="C79" s="1288" t="str">
        <f>IF(ISERROR('IND 3.1.1-3.4.3'!C96/'IND 1.2.4'!D60),"",ROUND('IND 3.1.1-3.4.3'!C96/'IND 1.2.4'!D60,0))</f>
        <v/>
      </c>
      <c r="D79" s="1289" t="str">
        <f t="shared" si="1"/>
        <v/>
      </c>
      <c r="E79" s="1277" t="s">
        <v>316</v>
      </c>
      <c r="F79" s="1277">
        <v>1</v>
      </c>
    </row>
    <row r="80" spans="1:6" ht="12.75" customHeight="1">
      <c r="A80" s="1290" t="s">
        <v>715</v>
      </c>
      <c r="B80" s="1288" t="str">
        <f>IF(ISERROR('IND 3.1.1-3.4.3'!B97/'IND 1.2.4'!C61),"",ROUND('IND 3.1.1-3.4.3'!B97/'IND 1.2.4'!C61,0))</f>
        <v/>
      </c>
      <c r="C80" s="1288" t="str">
        <f>IF(ISERROR('IND 3.1.1-3.4.3'!C97/'IND 1.2.4'!D61),"",ROUND('IND 3.1.1-3.4.3'!C97/'IND 1.2.4'!D61,0))</f>
        <v/>
      </c>
      <c r="D80" s="1289" t="str">
        <f t="shared" si="1"/>
        <v/>
      </c>
      <c r="E80" s="1277" t="s">
        <v>316</v>
      </c>
      <c r="F80" s="1277">
        <v>2</v>
      </c>
    </row>
    <row r="81" spans="1:6" ht="12.75" customHeight="1">
      <c r="A81" s="1290" t="s">
        <v>670</v>
      </c>
      <c r="B81" s="1288" t="str">
        <f>IF(ISERROR('IND 3.1.1-3.4.3'!B98/'IND 1.2.4'!C62),"",ROUND('IND 3.1.1-3.4.3'!B98/'IND 1.2.4'!C62,0))</f>
        <v/>
      </c>
      <c r="C81" s="1288" t="str">
        <f>IF(ISERROR('IND 3.1.1-3.4.3'!C98/'IND 1.2.4'!D62),"",ROUND('IND 3.1.1-3.4.3'!C98/'IND 1.2.4'!D62,0))</f>
        <v/>
      </c>
      <c r="D81" s="1289" t="str">
        <f t="shared" si="1"/>
        <v/>
      </c>
      <c r="E81" s="1277" t="s">
        <v>316</v>
      </c>
      <c r="F81" s="1277">
        <v>3</v>
      </c>
    </row>
    <row r="82" spans="1:6" ht="12.75" customHeight="1">
      <c r="A82" s="1285" t="s">
        <v>2192</v>
      </c>
      <c r="B82" s="1288" t="str">
        <f>IF(ISERROR('IND 3.1.1-3.4.3'!B99/'IND 1.2.4'!C63),"",ROUND('IND 3.1.1-3.4.3'!B99/'IND 1.2.4'!C63,0))</f>
        <v/>
      </c>
      <c r="C82" s="1288" t="str">
        <f>IF(ISERROR('IND 3.1.1-3.4.3'!C99/'IND 1.2.4'!D63),"",ROUND('IND 3.1.1-3.4.3'!C99/'IND 1.2.4'!D63,0))</f>
        <v/>
      </c>
      <c r="D82" s="1289" t="str">
        <f t="shared" si="1"/>
        <v/>
      </c>
      <c r="E82" s="1277" t="s">
        <v>1081</v>
      </c>
      <c r="F82" s="1277">
        <v>0</v>
      </c>
    </row>
    <row r="83" spans="1:6" ht="12.75" customHeight="1">
      <c r="A83" s="1290" t="s">
        <v>714</v>
      </c>
      <c r="B83" s="1288" t="str">
        <f>IF(ISERROR('IND 3.1.1-3.4.3'!B100/'IND 1.2.4'!C64),"",ROUND('IND 3.1.1-3.4.3'!B100/'IND 1.2.4'!C64,0))</f>
        <v/>
      </c>
      <c r="C83" s="1288" t="str">
        <f>IF(ISERROR('IND 3.1.1-3.4.3'!C100/'IND 1.2.4'!D64),"",ROUND('IND 3.1.1-3.4.3'!C100/'IND 1.2.4'!D64,0))</f>
        <v/>
      </c>
      <c r="D83" s="1289" t="str">
        <f t="shared" si="1"/>
        <v/>
      </c>
      <c r="E83" s="1277" t="s">
        <v>1081</v>
      </c>
      <c r="F83" s="1277">
        <v>1</v>
      </c>
    </row>
    <row r="84" spans="1:6" ht="12.75" customHeight="1">
      <c r="A84" s="1290" t="s">
        <v>715</v>
      </c>
      <c r="B84" s="1288" t="str">
        <f>IF(ISERROR('IND 3.1.1-3.4.3'!B101/'IND 1.2.4'!C65),"",ROUND('IND 3.1.1-3.4.3'!B101/'IND 1.2.4'!C65,0))</f>
        <v/>
      </c>
      <c r="C84" s="1288" t="str">
        <f>IF(ISERROR('IND 3.1.1-3.4.3'!C101/'IND 1.2.4'!D65),"",ROUND('IND 3.1.1-3.4.3'!C101/'IND 1.2.4'!D65,0))</f>
        <v/>
      </c>
      <c r="D84" s="1289" t="str">
        <f t="shared" si="1"/>
        <v/>
      </c>
      <c r="E84" s="1277" t="s">
        <v>1081</v>
      </c>
      <c r="F84" s="1277">
        <v>2</v>
      </c>
    </row>
    <row r="85" spans="1:6" ht="12.75" customHeight="1">
      <c r="A85" s="1290" t="s">
        <v>670</v>
      </c>
      <c r="B85" s="1288" t="str">
        <f>IF(ISERROR('IND 3.1.1-3.4.3'!B102/'IND 1.2.4'!C66),"",ROUND('IND 3.1.1-3.4.3'!B102/'IND 1.2.4'!C66,0))</f>
        <v/>
      </c>
      <c r="C85" s="1288" t="str">
        <f>IF(ISERROR('IND 3.1.1-3.4.3'!C102/'IND 1.2.4'!D66),"",ROUND('IND 3.1.1-3.4.3'!C102/'IND 1.2.4'!D66,0))</f>
        <v/>
      </c>
      <c r="D85" s="1289" t="str">
        <f t="shared" si="1"/>
        <v/>
      </c>
      <c r="E85" s="1277" t="s">
        <v>1081</v>
      </c>
      <c r="F85" s="1277">
        <v>3</v>
      </c>
    </row>
    <row r="86" spans="1:6" ht="12.75" customHeight="1">
      <c r="A86" s="1285" t="s">
        <v>1082</v>
      </c>
      <c r="B86" s="1288">
        <f>IF(ISERROR('IND 3.1.1-3.4.3'!B103/'IND 1.2.4'!C67),"",ROUND('IND 3.1.1-3.4.3'!B103/'IND 1.2.4'!C67,0))</f>
        <v>23818</v>
      </c>
      <c r="C86" s="1288">
        <f>IF(ISERROR('IND 3.1.1-3.4.3'!C103/'IND 1.2.4'!D67),"",ROUND('IND 3.1.1-3.4.3'!C103/'IND 1.2.4'!D67,0))</f>
        <v>23329</v>
      </c>
      <c r="D86" s="1289">
        <f t="shared" si="1"/>
        <v>2.0499999999999998</v>
      </c>
      <c r="E86" s="1277" t="s">
        <v>694</v>
      </c>
      <c r="F86" s="1277">
        <v>0</v>
      </c>
    </row>
    <row r="87" spans="1:6" ht="12.75" customHeight="1">
      <c r="A87" s="1290" t="s">
        <v>715</v>
      </c>
      <c r="B87" s="1288">
        <f>IF(ISERROR('IND 3.1.1-3.4.3'!B104/'IND 1.2.4'!C68),"",ROUND('IND 3.1.1-3.4.3'!B104/'IND 1.2.4'!C68,0))</f>
        <v>58924</v>
      </c>
      <c r="C87" s="1288">
        <f>IF(ISERROR('IND 3.1.1-3.4.3'!C104/'IND 1.2.4'!D68),"",ROUND('IND 3.1.1-3.4.3'!C104/'IND 1.2.4'!D68,0))</f>
        <v>27095</v>
      </c>
      <c r="D87" s="1289">
        <f t="shared" si="1"/>
        <v>54.02</v>
      </c>
      <c r="E87" s="1277" t="s">
        <v>694</v>
      </c>
      <c r="F87" s="1277">
        <v>2</v>
      </c>
    </row>
    <row r="88" spans="1:6" ht="12.75" customHeight="1">
      <c r="A88" s="1290" t="s">
        <v>670</v>
      </c>
      <c r="B88" s="1288">
        <f>IF(ISERROR('IND 3.1.1-3.4.3'!B105/'IND 1.2.4'!C69),"",ROUND('IND 3.1.1-3.4.3'!B105/'IND 1.2.4'!C69,0))</f>
        <v>22449</v>
      </c>
      <c r="C88" s="1288">
        <f>IF(ISERROR('IND 3.1.1-3.4.3'!C105/'IND 1.2.4'!D69),"",ROUND('IND 3.1.1-3.4.3'!C105/'IND 1.2.4'!D69,0))</f>
        <v>22816</v>
      </c>
      <c r="D88" s="1289">
        <f t="shared" si="1"/>
        <v>-1.63</v>
      </c>
      <c r="E88" s="1277" t="s">
        <v>694</v>
      </c>
      <c r="F88" s="1277">
        <v>3</v>
      </c>
    </row>
    <row r="89" spans="1:6" ht="12.75" customHeight="1">
      <c r="A89" s="1286" t="s">
        <v>768</v>
      </c>
      <c r="B89" s="1288">
        <f>IF(ISERROR('IND 3.1.1-3.4.3'!B106/'IND 1.2.4'!C71),"",ROUND('IND 3.1.1-3.4.3'!B106/'IND 1.2.4'!C71,0))</f>
        <v>36337</v>
      </c>
      <c r="C89" s="1288">
        <f>IF(ISERROR('IND 3.1.1-3.4.3'!C106/'IND 1.2.4'!D71),"",ROUND('IND 3.1.1-3.4.3'!C106/'IND 1.2.4'!D71,0))</f>
        <v>27241</v>
      </c>
      <c r="D89" s="1289">
        <f t="shared" si="1"/>
        <v>25.03</v>
      </c>
      <c r="E89" s="1287" t="s">
        <v>697</v>
      </c>
      <c r="F89" s="1277">
        <v>0</v>
      </c>
    </row>
    <row r="90" spans="1:6" ht="12.75" customHeight="1">
      <c r="A90" s="1272"/>
      <c r="B90" s="1272"/>
      <c r="C90" s="1272"/>
      <c r="D90" s="1272"/>
    </row>
  </sheetData>
  <sheetProtection algorithmName="SHA-512" hashValue="/Ib+5h/mAvRO6+XR2k6TvZx7q6QsaKE6BkwNcO5IbVnStGQd1xmg7zHQutEKOP9AGnlT8/K0JY8ZIIR1d1NLBw==" saltValue="gwVGxK1vfTj+GZhNcQFsaw==" spinCount="100000" sheet="1" objects="1" scenarios="1"/>
  <mergeCells count="2">
    <mergeCell ref="B1:C1"/>
    <mergeCell ref="A5:D5"/>
  </mergeCells>
  <hyperlinks>
    <hyperlink ref="B1" location="Sommaire!A1" display="Retour Sommaire"/>
  </hyperlinks>
  <printOptions horizontalCentered="1"/>
  <pageMargins left="0.59055118110236227" right="0.59055118110236227" top="0.59055118110236227" bottom="0.59055118110236227" header="0.51181102362204722" footer="0.27559055118110237"/>
  <pageSetup paperSize="9" scale="64" orientation="portrait" r:id="rId1"/>
  <headerFooter alignWithMargins="0">
    <oddFooter>&amp;LRSU 2020 - Présentation au CTP&amp;R&amp;P/&amp;N
&amp;A</oddFooter>
  </headerFooter>
  <rowBreaks count="1" manualBreakCount="1">
    <brk id="48" max="3" man="1"/>
  </rowBreaks>
</worksheet>
</file>

<file path=xl/worksheets/sheet89.xml><?xml version="1.0" encoding="utf-8"?>
<worksheet xmlns="http://schemas.openxmlformats.org/spreadsheetml/2006/main" xmlns:r="http://schemas.openxmlformats.org/officeDocument/2006/relationships">
  <sheetPr codeName="Feuil81">
    <pageSetUpPr fitToPage="1"/>
  </sheetPr>
  <dimension ref="A1:F7"/>
  <sheetViews>
    <sheetView showGridLines="0" workbookViewId="0"/>
  </sheetViews>
  <sheetFormatPr baseColWidth="10" defaultColWidth="10.85546875" defaultRowHeight="12.75" customHeight="1"/>
  <sheetData>
    <row r="1" spans="1:6" ht="17.100000000000001" customHeight="1">
      <c r="A1" s="1"/>
      <c r="B1" s="1"/>
      <c r="C1" s="1"/>
      <c r="D1" s="1"/>
      <c r="E1" s="2245" t="s">
        <v>958</v>
      </c>
      <c r="F1" s="2245"/>
    </row>
    <row r="5" spans="1:6" ht="12.75" customHeight="1">
      <c r="A5" t="s">
        <v>3012</v>
      </c>
    </row>
    <row r="6" spans="1:6" ht="12.75" customHeight="1">
      <c r="A6" t="s">
        <v>3013</v>
      </c>
    </row>
    <row r="7" spans="1:6" ht="12.75" customHeight="1">
      <c r="A7" t="s">
        <v>3014</v>
      </c>
    </row>
  </sheetData>
  <mergeCells count="1">
    <mergeCell ref="E1:F1"/>
  </mergeCells>
  <hyperlinks>
    <hyperlink ref="E1" location="Sommaire!A1" display="Retour Sommaire"/>
  </hyperlinks>
  <printOptions horizontalCentered="1"/>
  <pageMargins left="0.59055118110236227" right="0.59055118110236227" top="0.59055118110236227" bottom="0.59055118110236227" header="0.51181102362204722" footer="0.27559055118110237"/>
  <pageSetup paperSize="9" scale="61" orientation="portrait" r:id="rId1"/>
  <headerFooter alignWithMargins="0">
    <oddFooter>&amp;LRSU 2020 - Présentation au CTP&amp;R&amp;P/&amp;N
&amp;A</oddFooter>
  </headerFooter>
</worksheet>
</file>

<file path=xl/worksheets/sheet9.xml><?xml version="1.0" encoding="utf-8"?>
<worksheet xmlns="http://schemas.openxmlformats.org/spreadsheetml/2006/main" xmlns:r="http://schemas.openxmlformats.org/officeDocument/2006/relationships">
  <sheetPr codeName="Feuil87">
    <tabColor theme="8" tint="-0.249977111117893"/>
  </sheetPr>
  <dimension ref="A1"/>
  <sheetViews>
    <sheetView workbookViewId="0"/>
  </sheetViews>
  <sheetFormatPr baseColWidth="10" defaultColWidth="9.140625" defaultRowHeight="15"/>
  <cols>
    <col min="1" max="16384" width="9.140625" style="1293" collapsed="1"/>
  </cols>
  <sheetData/>
  <pageMargins left="0.7" right="0.7" top="0.75" bottom="0.75" header="0.3" footer="0.3"/>
</worksheet>
</file>

<file path=xl/worksheets/sheet90.xml><?xml version="1.0" encoding="utf-8"?>
<worksheet xmlns="http://schemas.openxmlformats.org/spreadsheetml/2006/main" xmlns:r="http://schemas.openxmlformats.org/officeDocument/2006/relationships">
  <sheetPr codeName="Feuil80"/>
  <dimension ref="A1:F23"/>
  <sheetViews>
    <sheetView workbookViewId="0"/>
  </sheetViews>
  <sheetFormatPr baseColWidth="10" defaultColWidth="10.85546875" defaultRowHeight="12.75" customHeight="1"/>
  <cols>
    <col min="1" max="1" width="100" customWidth="1"/>
    <col min="5" max="5" width="54.140625" bestFit="1" customWidth="1"/>
    <col min="6" max="6" width="58.5703125" bestFit="1" customWidth="1"/>
  </cols>
  <sheetData>
    <row r="1" spans="1:6" ht="12.75" customHeight="1">
      <c r="A1" s="217" t="s">
        <v>934</v>
      </c>
      <c r="B1" s="1"/>
      <c r="C1" s="1" t="s">
        <v>1275</v>
      </c>
      <c r="D1" s="1" t="s">
        <v>1275</v>
      </c>
      <c r="E1" s="1" t="s">
        <v>1275</v>
      </c>
      <c r="F1" s="1" t="s">
        <v>1275</v>
      </c>
    </row>
    <row r="2" spans="1:6" ht="12.75" customHeight="1">
      <c r="A2" s="217" t="s">
        <v>2145</v>
      </c>
      <c r="B2" s="1"/>
      <c r="C2" s="1" t="s">
        <v>1122</v>
      </c>
      <c r="D2" s="1" t="s">
        <v>1125</v>
      </c>
      <c r="E2" s="1" t="s">
        <v>534</v>
      </c>
      <c r="F2" s="1" t="s">
        <v>74</v>
      </c>
    </row>
    <row r="3" spans="1:6" ht="12.75" customHeight="1">
      <c r="A3" s="217" t="s">
        <v>2146</v>
      </c>
      <c r="B3" s="1"/>
      <c r="C3" s="1" t="s">
        <v>1123</v>
      </c>
      <c r="D3" s="1" t="s">
        <v>1123</v>
      </c>
      <c r="E3" s="1" t="s">
        <v>535</v>
      </c>
      <c r="F3" s="1" t="s">
        <v>537</v>
      </c>
    </row>
    <row r="4" spans="1:6" ht="12.75" customHeight="1">
      <c r="A4" s="217" t="s">
        <v>2147</v>
      </c>
      <c r="B4" s="1"/>
      <c r="C4" s="1" t="s">
        <v>1124</v>
      </c>
      <c r="D4" s="1" t="s">
        <v>1124</v>
      </c>
      <c r="E4" s="1" t="s">
        <v>1122</v>
      </c>
      <c r="F4" s="1" t="s">
        <v>536</v>
      </c>
    </row>
    <row r="5" spans="1:6" ht="12.75" customHeight="1">
      <c r="A5" s="217" t="s">
        <v>2148</v>
      </c>
      <c r="B5" s="1"/>
      <c r="C5" s="1"/>
      <c r="D5" s="1"/>
      <c r="E5" s="1"/>
      <c r="F5" s="1" t="s">
        <v>1122</v>
      </c>
    </row>
    <row r="6" spans="1:6" ht="12.75" customHeight="1">
      <c r="A6" s="217" t="s">
        <v>135</v>
      </c>
      <c r="B6" s="1"/>
      <c r="C6" s="1"/>
      <c r="D6" s="1"/>
      <c r="E6" s="1"/>
      <c r="F6" s="1"/>
    </row>
    <row r="7" spans="1:6" ht="12.75" customHeight="1">
      <c r="A7" s="217" t="s">
        <v>2149</v>
      </c>
      <c r="B7" s="1"/>
      <c r="C7" s="1"/>
      <c r="D7" s="1"/>
      <c r="E7" s="1"/>
      <c r="F7" s="1"/>
    </row>
    <row r="8" spans="1:6" ht="12.75" customHeight="1">
      <c r="A8" s="217" t="s">
        <v>2150</v>
      </c>
      <c r="B8" s="1"/>
      <c r="C8" s="1"/>
      <c r="D8" s="1"/>
      <c r="E8" s="1"/>
      <c r="F8" s="1"/>
    </row>
    <row r="9" spans="1:6" ht="12.75" customHeight="1">
      <c r="A9" s="217" t="s">
        <v>2151</v>
      </c>
      <c r="B9" s="1"/>
      <c r="C9" s="1"/>
      <c r="D9" s="1"/>
      <c r="E9" s="1"/>
      <c r="F9" s="1"/>
    </row>
    <row r="10" spans="1:6" ht="12.75" customHeight="1">
      <c r="A10" s="217" t="s">
        <v>136</v>
      </c>
      <c r="B10" s="1"/>
      <c r="C10" s="1"/>
      <c r="D10" s="1"/>
      <c r="E10" s="1"/>
      <c r="F10" s="1"/>
    </row>
    <row r="11" spans="1:6" ht="12.75" customHeight="1">
      <c r="A11" s="217" t="s">
        <v>137</v>
      </c>
      <c r="B11" s="1"/>
      <c r="C11" s="1"/>
      <c r="D11" s="1"/>
      <c r="E11" s="1"/>
      <c r="F11" s="1"/>
    </row>
    <row r="12" spans="1:6" ht="12.75" customHeight="1">
      <c r="A12" s="217" t="s">
        <v>138</v>
      </c>
      <c r="B12" s="1"/>
      <c r="C12" s="1"/>
      <c r="D12" s="1"/>
      <c r="E12" s="1"/>
      <c r="F12" s="1"/>
    </row>
    <row r="13" spans="1:6" ht="12.75" customHeight="1">
      <c r="A13" s="217" t="s">
        <v>139</v>
      </c>
      <c r="B13" s="1"/>
      <c r="C13" s="1"/>
      <c r="D13" s="1"/>
      <c r="E13" s="1"/>
      <c r="F13" s="1"/>
    </row>
    <row r="14" spans="1:6" ht="12.75" customHeight="1">
      <c r="A14" s="217" t="s">
        <v>565</v>
      </c>
      <c r="B14" s="1"/>
      <c r="C14" s="1"/>
      <c r="D14" s="1"/>
      <c r="E14" s="1"/>
      <c r="F14" s="1"/>
    </row>
    <row r="15" spans="1:6" ht="12.75" customHeight="1">
      <c r="A15" s="217" t="s">
        <v>140</v>
      </c>
      <c r="B15" s="1"/>
      <c r="C15" s="1"/>
      <c r="D15" s="1"/>
      <c r="E15" s="1"/>
      <c r="F15" s="1"/>
    </row>
    <row r="16" spans="1:6" ht="12.75" customHeight="1">
      <c r="A16" s="217" t="s">
        <v>878</v>
      </c>
      <c r="B16" s="1"/>
      <c r="C16" s="1"/>
      <c r="D16" s="1"/>
      <c r="E16" s="1"/>
      <c r="F16" s="1"/>
    </row>
    <row r="17" spans="1:6" ht="12.75" customHeight="1">
      <c r="A17" s="217" t="s">
        <v>879</v>
      </c>
      <c r="B17" s="1"/>
      <c r="C17" s="1"/>
      <c r="D17" s="1"/>
      <c r="E17" s="1"/>
      <c r="F17" s="1"/>
    </row>
    <row r="18" spans="1:6" ht="12.75" customHeight="1">
      <c r="A18" s="217" t="s">
        <v>880</v>
      </c>
      <c r="B18" s="1"/>
      <c r="C18" s="1"/>
      <c r="D18" s="1"/>
      <c r="E18" s="1"/>
      <c r="F18" s="1"/>
    </row>
    <row r="19" spans="1:6" ht="12.75" customHeight="1">
      <c r="A19" s="217" t="s">
        <v>881</v>
      </c>
      <c r="B19" s="1"/>
      <c r="C19" s="1"/>
      <c r="D19" s="1"/>
      <c r="E19" s="1"/>
      <c r="F19" s="1"/>
    </row>
    <row r="20" spans="1:6" ht="12.75" customHeight="1">
      <c r="A20" s="217" t="s">
        <v>882</v>
      </c>
      <c r="B20" s="1"/>
      <c r="C20" s="1"/>
      <c r="D20" s="1"/>
      <c r="E20" s="1"/>
      <c r="F20" s="1"/>
    </row>
    <row r="21" spans="1:6" ht="12.75" customHeight="1">
      <c r="A21" s="217" t="s">
        <v>337</v>
      </c>
      <c r="B21" s="1"/>
      <c r="C21" s="1"/>
      <c r="D21" s="1"/>
      <c r="E21" s="1"/>
      <c r="F21" s="1"/>
    </row>
    <row r="22" spans="1:6" ht="12.75" customHeight="1">
      <c r="A22" s="217" t="s">
        <v>972</v>
      </c>
      <c r="B22" s="1"/>
      <c r="C22" s="1"/>
      <c r="D22" s="1"/>
      <c r="E22" s="1"/>
      <c r="F22" s="1"/>
    </row>
    <row r="23" spans="1:6" ht="12.75" customHeight="1">
      <c r="F23" s="1"/>
    </row>
  </sheetData>
  <sheetProtection algorithmName="SHA-512" hashValue="+a9iVAyaC1AVwrOiKUwxJ9lucTVNtbgwBn1RqtKN1Y9SJWzNo5a4jNh1RwfQXzBdVaSWwCJMJZAlc60Gk7iUaw==" saltValue="BN4eQc5kVlwXWErJUTgFAA==" spinCount="100000" sheet="1" objects="1" scenarios="1"/>
  <pageMargins left="0.59027777777777801" right="0.59027777777777801" top="0.59027777777777801" bottom="0.59027777777777801" header="0.51180555555555596" footer="0.4921259845"/>
  <pageSetup paperSize="9" orientation="portrait" r:id="rId1"/>
  <headerFooter alignWithMargins="0">
    <oddFooter>&amp;LBS2019 - Présentation au CTP&amp;R&amp;P/&amp;N
&amp;A</oddFooter>
  </headerFooter>
</worksheet>
</file>

<file path=customUI/_rels/customUI.xml.rels><?xml version="1.0" encoding="UTF-8" standalone="yes"?>
<Relationships xmlns="http://schemas.openxmlformats.org/package/2006/relationships"><Relationship Id="kControle2-32" Type="http://schemas.openxmlformats.org/officeDocument/2006/relationships/image" Target="images/kControle2-32.png"/><Relationship Id="kExport-32" Type="http://schemas.openxmlformats.org/officeDocument/2006/relationships/image" Target="images/kExport-32.png"/><Relationship Id="kInfo-32" Type="http://schemas.openxmlformats.org/officeDocument/2006/relationships/image" Target="images/kInfo-32.png"/><Relationship Id="kCategorie1-32" Type="http://schemas.openxmlformats.org/officeDocument/2006/relationships/image" Target="images/kCategorie1-32.png"/><Relationship Id="kAideSaisie-32" Type="http://schemas.openxmlformats.org/officeDocument/2006/relationships/image" Target="images/kAideSaisie-32.png"/><Relationship Id="kImport-32" Type="http://schemas.openxmlformats.org/officeDocument/2006/relationships/image" Target="images/kImport-32.png"/></Relationships>
</file>

<file path=customUI/customUI.xml><?xml version="1.0" encoding="utf-8"?>
<customUI xmlns="http://schemas.microsoft.com/office/2006/01/customui">
  <ribbon>
    <tabs>
      <tab id="tabDGCL" label="DGCL" visible="true">
        <group id="grpTRAITEMENT" label="Traitement">
          <button id="btnExporter" label="Exporter" screentip="Exporter" supertip="Exporter les données vers un fichier texte" onAction="kExportation" image="kExport-32"/>
          <button id="btnImporter" label="Importer" screentip="Importer" supertip="Importer les données à partir d'un fichier texte" onAction="kImportation" image="kImport-32"/>
          <button id="btnControle" label="Contrôle" screentip="Contrôle" supertip="Contrôle des valeurs des indicateurs" onAction="kControle" image="kControle2-32"/>
        </group>
        <group id="grpAIDE" label="Aide">
          <button id="btnSaisie" label="Aide à la saisie" screentip="Aide à la saisie" onAction="kAideSAisie" image="kAideSaisie-32"/>
          <button id="btnCategorie" label="Aide sur les catégories" screentip="Aide sur les catégories" onAction="kAideCategorie" image="kCategorie1-32"/>
          <button id="btnAProposDe" label="A propos de" screentip="A propos de" onAction="kAProposDe" image="kInfo-32"/>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87</vt:i4>
      </vt:variant>
      <vt:variant>
        <vt:lpstr>Plages nommées</vt:lpstr>
      </vt:variant>
      <vt:variant>
        <vt:i4>422</vt:i4>
      </vt:variant>
    </vt:vector>
  </HeadingPairs>
  <TitlesOfParts>
    <vt:vector size="509" baseType="lpstr">
      <vt:lpstr>A_LIRE</vt:lpstr>
      <vt:lpstr>Page de garde</vt:lpstr>
      <vt:lpstr>Handitorial</vt:lpstr>
      <vt:lpstr>RASSCT</vt:lpstr>
      <vt:lpstr>RASSCT (actions) (2)</vt:lpstr>
      <vt:lpstr>RASSCT (actions) (3)</vt:lpstr>
      <vt:lpstr>RASSCT (actions) (4)</vt:lpstr>
      <vt:lpstr>RASSCT (actions) (5)</vt:lpstr>
      <vt:lpstr>GPEEC</vt:lpstr>
      <vt:lpstr>Sommaire</vt:lpstr>
      <vt:lpstr>Fiche 1.1.0</vt:lpstr>
      <vt:lpstr>IND 1.1.0</vt:lpstr>
      <vt:lpstr>Fiche 1.1.1</vt:lpstr>
      <vt:lpstr>IND 1.1.1</vt:lpstr>
      <vt:lpstr>Fiche 1.1.2</vt:lpstr>
      <vt:lpstr>IND 1.1.2</vt:lpstr>
      <vt:lpstr>Fiche 1.1.3</vt:lpstr>
      <vt:lpstr>IND 1.1.3</vt:lpstr>
      <vt:lpstr>IND 1.1.4</vt:lpstr>
      <vt:lpstr>Fiche 1.2.1</vt:lpstr>
      <vt:lpstr>IND 1.2.1</vt:lpstr>
      <vt:lpstr>Fiche 1.2.2</vt:lpstr>
      <vt:lpstr>IND 1.2.2</vt:lpstr>
      <vt:lpstr>Fiche 1.2.3</vt:lpstr>
      <vt:lpstr>IND 1.2.3</vt:lpstr>
      <vt:lpstr>IND 1.2.4</vt:lpstr>
      <vt:lpstr>Fiche 1.3.1-1.3.2</vt:lpstr>
      <vt:lpstr>IND 1.3.1</vt:lpstr>
      <vt:lpstr>IND 1.3.2</vt:lpstr>
      <vt:lpstr>Fiche 1.4.1-1.4.4</vt:lpstr>
      <vt:lpstr>IND 1.4.1-1.4.4</vt:lpstr>
      <vt:lpstr>Fiche 1.5.0</vt:lpstr>
      <vt:lpstr>IND 1.5.0</vt:lpstr>
      <vt:lpstr>Fiche 1.5.1</vt:lpstr>
      <vt:lpstr>IND 1.5.1</vt:lpstr>
      <vt:lpstr>Fiche 1.5.2</vt:lpstr>
      <vt:lpstr>IND 1.5.2</vt:lpstr>
      <vt:lpstr>Fiche 1.5.3</vt:lpstr>
      <vt:lpstr>IND 1.5.3</vt:lpstr>
      <vt:lpstr>Fiche 1.5.4-1.5.7</vt:lpstr>
      <vt:lpstr>IND 1.5.4-1.5.5</vt:lpstr>
      <vt:lpstr>IND 1.5.6</vt:lpstr>
      <vt:lpstr>IND 1.5.7</vt:lpstr>
      <vt:lpstr>Fiche 1.6.1-1.6.2</vt:lpstr>
      <vt:lpstr>IND 1.6.1</vt:lpstr>
      <vt:lpstr>IND 1.6.2</vt:lpstr>
      <vt:lpstr>IND 1.7.1</vt:lpstr>
      <vt:lpstr>Fiche 2.1.0</vt:lpstr>
      <vt:lpstr>IND 2.1.0</vt:lpstr>
      <vt:lpstr>IND 2.1.1</vt:lpstr>
      <vt:lpstr>IND 2.1.2</vt:lpstr>
      <vt:lpstr>IND 2.1.3</vt:lpstr>
      <vt:lpstr>IND 2.1.4-2.1.6</vt:lpstr>
      <vt:lpstr>IND 2.1.7</vt:lpstr>
      <vt:lpstr>Fiche 2.2.1-2.2.7</vt:lpstr>
      <vt:lpstr>IND 2.2.1-2.2.4</vt:lpstr>
      <vt:lpstr>IND 2.2.5</vt:lpstr>
      <vt:lpstr>IND 2.2.6</vt:lpstr>
      <vt:lpstr>IND 2.2.7</vt:lpstr>
      <vt:lpstr>IND 2.3.1</vt:lpstr>
      <vt:lpstr>Fiche 3.1.1-3.4.3</vt:lpstr>
      <vt:lpstr>IND 3.1.1-3.4.3</vt:lpstr>
      <vt:lpstr>IND 3.4.4</vt:lpstr>
      <vt:lpstr>IND 3.4.5</vt:lpstr>
      <vt:lpstr>IND 4.1.1-4.1.2</vt:lpstr>
      <vt:lpstr>IND 4.1.3</vt:lpstr>
      <vt:lpstr>Fiche 4.1.4-4.1.6</vt:lpstr>
      <vt:lpstr>IND 4.1.4-4.1.7</vt:lpstr>
      <vt:lpstr>IND 4.2.1</vt:lpstr>
      <vt:lpstr>IND 4.2.2</vt:lpstr>
      <vt:lpstr>IND 4.2.3</vt:lpstr>
      <vt:lpstr>IND 4.2.4</vt:lpstr>
      <vt:lpstr>IND 4.2.5</vt:lpstr>
      <vt:lpstr>IND 4.3.1</vt:lpstr>
      <vt:lpstr>Fiche 5.1.1-5.1.4</vt:lpstr>
      <vt:lpstr>IND 5.1.1</vt:lpstr>
      <vt:lpstr>IND 5.1.2</vt:lpstr>
      <vt:lpstr>IND 5.1.3</vt:lpstr>
      <vt:lpstr>IND 5.1.4</vt:lpstr>
      <vt:lpstr>IND 6.1.1-6.1.3</vt:lpstr>
      <vt:lpstr>Fiche 6.1.4</vt:lpstr>
      <vt:lpstr>IND 6.1.4</vt:lpstr>
      <vt:lpstr>Fiche 7.1.1-7.1.4</vt:lpstr>
      <vt:lpstr>IND 7.1.1-7.1.3</vt:lpstr>
      <vt:lpstr>IND 7.1.4</vt:lpstr>
      <vt:lpstr>IND 8.1.0</vt:lpstr>
      <vt:lpstr>Messages_controles</vt:lpstr>
      <vt:lpstr>'IND 1.1.1'!Impression_des_titres</vt:lpstr>
      <vt:lpstr>'IND 1.2.1'!Impression_des_titres</vt:lpstr>
      <vt:lpstr>'IND 1.2.2'!Impression_des_titres</vt:lpstr>
      <vt:lpstr>'IND 1.5.6'!Impression_des_titres</vt:lpstr>
      <vt:lpstr>'IND 3.4.4'!Impression_des_titres</vt:lpstr>
      <vt:lpstr>synthese!lstChomageContractuel</vt:lpstr>
      <vt:lpstr>lstChomageContractuel</vt:lpstr>
      <vt:lpstr>synthese!lstChomageTitulaire</vt:lpstr>
      <vt:lpstr>lstChomageTitulaire</vt:lpstr>
      <vt:lpstr>synthese!lstCollectivite</vt:lpstr>
      <vt:lpstr>lstCollectivite</vt:lpstr>
      <vt:lpstr>synthese!lstReponse</vt:lpstr>
      <vt:lpstr>lstReponse</vt:lpstr>
      <vt:lpstr>synthese!lstReponse2</vt:lpstr>
      <vt:lpstr>lstReponse2</vt:lpstr>
      <vt:lpstr>Message_erreur</vt:lpstr>
      <vt:lpstr>Val_110A_Col</vt:lpstr>
      <vt:lpstr>Val_110A_Lig1</vt:lpstr>
      <vt:lpstr>Val_110A_Lig2</vt:lpstr>
      <vt:lpstr>Val_110B_Col</vt:lpstr>
      <vt:lpstr>Val_110B_Lig1</vt:lpstr>
      <vt:lpstr>Val_110B_Lig2</vt:lpstr>
      <vt:lpstr>Val_110C_Col</vt:lpstr>
      <vt:lpstr>Val_110C_Lig</vt:lpstr>
      <vt:lpstr>Val_111A_Col</vt:lpstr>
      <vt:lpstr>Val_111A_Lig</vt:lpstr>
      <vt:lpstr>Val_111B_Col</vt:lpstr>
      <vt:lpstr>Val_111B_Lig</vt:lpstr>
      <vt:lpstr>Val_112_Col</vt:lpstr>
      <vt:lpstr>Val_112_Lig1</vt:lpstr>
      <vt:lpstr>Val_112_Lig2</vt:lpstr>
      <vt:lpstr>Val_113_Col1</vt:lpstr>
      <vt:lpstr>Val_113_Col2</vt:lpstr>
      <vt:lpstr>Val_113_Lig</vt:lpstr>
      <vt:lpstr>Val_114_Col1</vt:lpstr>
      <vt:lpstr>Val_114_Col2</vt:lpstr>
      <vt:lpstr>Val_114_Lig</vt:lpstr>
      <vt:lpstr>'IND 1.2.1'!Val_121A_Col</vt:lpstr>
      <vt:lpstr>'IND 1.2.1'!Val_121A_Lig</vt:lpstr>
      <vt:lpstr>'IND 1.2.1'!Val_121B_Col</vt:lpstr>
      <vt:lpstr>'IND 1.2.1'!Val_121B_Lig</vt:lpstr>
      <vt:lpstr>'IND 1.2.1'!Val_121C_Col</vt:lpstr>
      <vt:lpstr>'IND 1.2.1'!Val_121C_Lig</vt:lpstr>
      <vt:lpstr>'IND 1.2.1'!Val_121D_Col</vt:lpstr>
      <vt:lpstr>'IND 1.2.1'!Val_121D_Lig</vt:lpstr>
      <vt:lpstr>Val_122_Col</vt:lpstr>
      <vt:lpstr>Val_122_Lig1</vt:lpstr>
      <vt:lpstr>Val_122_Lig2</vt:lpstr>
      <vt:lpstr>Val_123_Col1</vt:lpstr>
      <vt:lpstr>Val_123_Col2</vt:lpstr>
      <vt:lpstr>Val_123_Lig</vt:lpstr>
      <vt:lpstr>Val_124_Col1</vt:lpstr>
      <vt:lpstr>Val_124_Col2</vt:lpstr>
      <vt:lpstr>Val_124_Lig</vt:lpstr>
      <vt:lpstr>Val_131A_Col</vt:lpstr>
      <vt:lpstr>Val_131A_Lig1</vt:lpstr>
      <vt:lpstr>Val_131A_Lig2</vt:lpstr>
      <vt:lpstr>Val_131B_Col</vt:lpstr>
      <vt:lpstr>Val_131B_Lig</vt:lpstr>
      <vt:lpstr>Val_132_Col</vt:lpstr>
      <vt:lpstr>Val_132_Lig1</vt:lpstr>
      <vt:lpstr>Val_132_Lig2</vt:lpstr>
      <vt:lpstr>Val_141_Col</vt:lpstr>
      <vt:lpstr>Val_141_Lig</vt:lpstr>
      <vt:lpstr>Val_142_Col</vt:lpstr>
      <vt:lpstr>Val_142_Lig1</vt:lpstr>
      <vt:lpstr>Val_142_Lig2</vt:lpstr>
      <vt:lpstr>Val_143_Col</vt:lpstr>
      <vt:lpstr>Val_143_Lig1</vt:lpstr>
      <vt:lpstr>Val_143_Lig2</vt:lpstr>
      <vt:lpstr>Val_144_Col</vt:lpstr>
      <vt:lpstr>Val_144_Lig</vt:lpstr>
      <vt:lpstr>Val_150A_Col</vt:lpstr>
      <vt:lpstr>Val_150A_Lig1</vt:lpstr>
      <vt:lpstr>Val_150A_Lig2</vt:lpstr>
      <vt:lpstr>Val_150B_Col</vt:lpstr>
      <vt:lpstr>Val_150B_Lig1</vt:lpstr>
      <vt:lpstr>Val_150B_Lig2</vt:lpstr>
      <vt:lpstr>Val_151A_Col</vt:lpstr>
      <vt:lpstr>Val_151A_Lig1</vt:lpstr>
      <vt:lpstr>Val_151A_Lig2</vt:lpstr>
      <vt:lpstr>Val_151B_Col</vt:lpstr>
      <vt:lpstr>Val_151B_Lig1</vt:lpstr>
      <vt:lpstr>Val_151B_Lig2</vt:lpstr>
      <vt:lpstr>Val_151C_Col</vt:lpstr>
      <vt:lpstr>Val_151C_Lig</vt:lpstr>
      <vt:lpstr>Val_152A_Col</vt:lpstr>
      <vt:lpstr>Val_152A_Lig</vt:lpstr>
      <vt:lpstr>Val_152B_Col</vt:lpstr>
      <vt:lpstr>Val_152B_Lig1</vt:lpstr>
      <vt:lpstr>Val_152B_Lig2</vt:lpstr>
      <vt:lpstr>Val_153_Col</vt:lpstr>
      <vt:lpstr>Val_153_Lig1</vt:lpstr>
      <vt:lpstr>Val_153_Lig2</vt:lpstr>
      <vt:lpstr>Val_154_Col</vt:lpstr>
      <vt:lpstr>Val_154_Lig</vt:lpstr>
      <vt:lpstr>Val_155_Col</vt:lpstr>
      <vt:lpstr>Val_155_Lig</vt:lpstr>
      <vt:lpstr>Val_156_Col</vt:lpstr>
      <vt:lpstr>Val_156_Lig1</vt:lpstr>
      <vt:lpstr>Val_156_Lig2</vt:lpstr>
      <vt:lpstr>Val_157_Col</vt:lpstr>
      <vt:lpstr>Val_157_Lig</vt:lpstr>
      <vt:lpstr>'IND 1.6.1'!Val_161_Lig1</vt:lpstr>
      <vt:lpstr>Val_161A_Col</vt:lpstr>
      <vt:lpstr>Val_161A_Lig1</vt:lpstr>
      <vt:lpstr>Val_161A_Lig2</vt:lpstr>
      <vt:lpstr>Val_161B_Lig1</vt:lpstr>
      <vt:lpstr>Val_161B_Lig2</vt:lpstr>
      <vt:lpstr>Val_171_Col1</vt:lpstr>
      <vt:lpstr>Val_171_Col2</vt:lpstr>
      <vt:lpstr>Val_171_Lig</vt:lpstr>
      <vt:lpstr>Val_211A_Col</vt:lpstr>
      <vt:lpstr>Val_211A_Lig</vt:lpstr>
      <vt:lpstr>Val_211B_Col</vt:lpstr>
      <vt:lpstr>Val_211B_Lig</vt:lpstr>
      <vt:lpstr>Val_211C_Col</vt:lpstr>
      <vt:lpstr>Val_211C_Lig</vt:lpstr>
      <vt:lpstr>Val_212A_Col</vt:lpstr>
      <vt:lpstr>Val_212A_Lig</vt:lpstr>
      <vt:lpstr>Val_212B_Col</vt:lpstr>
      <vt:lpstr>Val_212B_Lig</vt:lpstr>
      <vt:lpstr>Val_212C_Col</vt:lpstr>
      <vt:lpstr>Val_212C_Lig</vt:lpstr>
      <vt:lpstr>Val_213A_Col</vt:lpstr>
      <vt:lpstr>Val_213A_Lig</vt:lpstr>
      <vt:lpstr>Val_213B_Col</vt:lpstr>
      <vt:lpstr>Val_213B_Lig</vt:lpstr>
      <vt:lpstr>Val_213C_Col</vt:lpstr>
      <vt:lpstr>Val_213C_Lig</vt:lpstr>
      <vt:lpstr>Val_214_Col</vt:lpstr>
      <vt:lpstr>Val_215_Col</vt:lpstr>
      <vt:lpstr>Val_216_Col</vt:lpstr>
      <vt:lpstr>Val_217A_Col1</vt:lpstr>
      <vt:lpstr>Val_217A_Col2</vt:lpstr>
      <vt:lpstr>Val_217B_Col1</vt:lpstr>
      <vt:lpstr>Val_217B_Col2</vt:lpstr>
      <vt:lpstr>Val_221_Col</vt:lpstr>
      <vt:lpstr>Val_221_Lig</vt:lpstr>
      <vt:lpstr>Val_222_Col</vt:lpstr>
      <vt:lpstr>Val_222_Lig</vt:lpstr>
      <vt:lpstr>Val_223A_Col</vt:lpstr>
      <vt:lpstr>Val_223A_Lig1</vt:lpstr>
      <vt:lpstr>Val_223A_Lig2</vt:lpstr>
      <vt:lpstr>Val_223B_Col</vt:lpstr>
      <vt:lpstr>Val_223B_Lig1</vt:lpstr>
      <vt:lpstr>Val_223B_Lig2</vt:lpstr>
      <vt:lpstr>Val_223C_Col</vt:lpstr>
      <vt:lpstr>Val_223C_Lig1</vt:lpstr>
      <vt:lpstr>Val_223C_Lig2</vt:lpstr>
      <vt:lpstr>Val_224_Lig1</vt:lpstr>
      <vt:lpstr>Val_224_Lig2</vt:lpstr>
      <vt:lpstr>Val_226A_Col</vt:lpstr>
      <vt:lpstr>Val_226A_Lig1</vt:lpstr>
      <vt:lpstr>Val_226A_Lig2</vt:lpstr>
      <vt:lpstr>Val_226B_Col</vt:lpstr>
      <vt:lpstr>Val_226B_Lig1</vt:lpstr>
      <vt:lpstr>Val_226B_Lig2</vt:lpstr>
      <vt:lpstr>Val_226C_Col</vt:lpstr>
      <vt:lpstr>Val_226C_Lig1</vt:lpstr>
      <vt:lpstr>Val_226C_Lig2</vt:lpstr>
      <vt:lpstr>Val_231_Col</vt:lpstr>
      <vt:lpstr>Val_231_Lig</vt:lpstr>
      <vt:lpstr>Val_311_Col1</vt:lpstr>
      <vt:lpstr>Val_311_Col2</vt:lpstr>
      <vt:lpstr>Val_311_Lig1</vt:lpstr>
      <vt:lpstr>Val_311_Lig2</vt:lpstr>
      <vt:lpstr>Val_321_Col1</vt:lpstr>
      <vt:lpstr>Val_321_Col2</vt:lpstr>
      <vt:lpstr>Val_321_Lig1</vt:lpstr>
      <vt:lpstr>Val_321_Lig2</vt:lpstr>
      <vt:lpstr>Val_331_Col</vt:lpstr>
      <vt:lpstr>Val_331_Lig</vt:lpstr>
      <vt:lpstr>'IND 3.4.4'!Val_343_Col</vt:lpstr>
      <vt:lpstr>Val_344_Col</vt:lpstr>
      <vt:lpstr>Val_344_Lig1</vt:lpstr>
      <vt:lpstr>Val_344_Lig2</vt:lpstr>
      <vt:lpstr>Val_344_Lig3</vt:lpstr>
      <vt:lpstr>Val_344_Lig4</vt:lpstr>
      <vt:lpstr>'IND 3.4.4'!Val_361_Lig</vt:lpstr>
      <vt:lpstr>Val_411_Col</vt:lpstr>
      <vt:lpstr>Val_412_Col</vt:lpstr>
      <vt:lpstr>Val_413_Lig</vt:lpstr>
      <vt:lpstr>Val_421B_Col</vt:lpstr>
      <vt:lpstr>Val_421B_Lig1</vt:lpstr>
      <vt:lpstr>Val_421B_Lig2</vt:lpstr>
      <vt:lpstr>Val_421C_Col</vt:lpstr>
      <vt:lpstr>Val_421C_Lig1</vt:lpstr>
      <vt:lpstr>Val_421C_Lig2</vt:lpstr>
      <vt:lpstr>Val_422_Col</vt:lpstr>
      <vt:lpstr>Val_422_Lig1</vt:lpstr>
      <vt:lpstr>Val_422_Lig2</vt:lpstr>
      <vt:lpstr>Val_423_Col</vt:lpstr>
      <vt:lpstr>Val_423_Lig</vt:lpstr>
      <vt:lpstr>Val_424_Col</vt:lpstr>
      <vt:lpstr>Val_424_Lig1</vt:lpstr>
      <vt:lpstr>Val_424_Lig2</vt:lpstr>
      <vt:lpstr>Val_431A_Col</vt:lpstr>
      <vt:lpstr>Val_431A_Lig</vt:lpstr>
      <vt:lpstr>Val_431B_Col</vt:lpstr>
      <vt:lpstr>Val_431B_Lig</vt:lpstr>
      <vt:lpstr>Val_431C_Col</vt:lpstr>
      <vt:lpstr>Val_431C_Lig</vt:lpstr>
      <vt:lpstr>Val_431D_Col</vt:lpstr>
      <vt:lpstr>Val_431D_Lig</vt:lpstr>
      <vt:lpstr>Val_511A_Col</vt:lpstr>
      <vt:lpstr>Val_511A_Lig1</vt:lpstr>
      <vt:lpstr>Val_511A_Lig2</vt:lpstr>
      <vt:lpstr>Val_511B_Col1</vt:lpstr>
      <vt:lpstr>Val_511B_Col2</vt:lpstr>
      <vt:lpstr>Val_511B_Lig</vt:lpstr>
      <vt:lpstr>Val_511C_Col1</vt:lpstr>
      <vt:lpstr>Val_511C_Col2</vt:lpstr>
      <vt:lpstr>Val_511C_Lig</vt:lpstr>
      <vt:lpstr>Val_511D_Col1</vt:lpstr>
      <vt:lpstr>Val_511D_Col2</vt:lpstr>
      <vt:lpstr>Val_511D_Lig</vt:lpstr>
      <vt:lpstr>Val_511E_Col1</vt:lpstr>
      <vt:lpstr>Val_511E_Col2</vt:lpstr>
      <vt:lpstr>Val_511E_Lig</vt:lpstr>
      <vt:lpstr>Val_512A_Col</vt:lpstr>
      <vt:lpstr>Val_512A_Lig</vt:lpstr>
      <vt:lpstr>Val_512B_Col</vt:lpstr>
      <vt:lpstr>Val_512B_Lig</vt:lpstr>
      <vt:lpstr>Val_512C_Col</vt:lpstr>
      <vt:lpstr>Val_512C_Lig</vt:lpstr>
      <vt:lpstr>Val_513_Col</vt:lpstr>
      <vt:lpstr>Val_513_Lig1</vt:lpstr>
      <vt:lpstr>Val_513_Lig2</vt:lpstr>
      <vt:lpstr>Val_514_Col</vt:lpstr>
      <vt:lpstr>Val_612_Col</vt:lpstr>
      <vt:lpstr>Val_613_Col</vt:lpstr>
      <vt:lpstr>Val_614A_Col</vt:lpstr>
      <vt:lpstr>Val_614A_Lig</vt:lpstr>
      <vt:lpstr>Val_614B_Col</vt:lpstr>
      <vt:lpstr>Val_614B_Lig</vt:lpstr>
      <vt:lpstr>Val_614C_Col</vt:lpstr>
      <vt:lpstr>Val_614C_Lig</vt:lpstr>
      <vt:lpstr>Val_614D_Col</vt:lpstr>
      <vt:lpstr>Val_614D_Lig</vt:lpstr>
      <vt:lpstr>Val_714A_Lig</vt:lpstr>
      <vt:lpstr>Val_714B_Col</vt:lpstr>
      <vt:lpstr>Val_714B_Lig</vt:lpstr>
      <vt:lpstr>Valeur_110A</vt:lpstr>
      <vt:lpstr>Valeur_110B</vt:lpstr>
      <vt:lpstr>Valeur_110C</vt:lpstr>
      <vt:lpstr>Valeur_111A</vt:lpstr>
      <vt:lpstr>Valeur_111B</vt:lpstr>
      <vt:lpstr>Valeur_112</vt:lpstr>
      <vt:lpstr>Valeur_113</vt:lpstr>
      <vt:lpstr>Valeur_114</vt:lpstr>
      <vt:lpstr>'IND 1.2.1'!Valeur_121A</vt:lpstr>
      <vt:lpstr>'IND 1.2.1'!Valeur_121B</vt:lpstr>
      <vt:lpstr>'IND 1.2.1'!Valeur_121C</vt:lpstr>
      <vt:lpstr>'IND 1.2.1'!Valeur_121D</vt:lpstr>
      <vt:lpstr>Valeur_122</vt:lpstr>
      <vt:lpstr>Valeur_123</vt:lpstr>
      <vt:lpstr>Valeur_124</vt:lpstr>
      <vt:lpstr>Valeur_131A</vt:lpstr>
      <vt:lpstr>Valeur_131B</vt:lpstr>
      <vt:lpstr>Valeur_132</vt:lpstr>
      <vt:lpstr>Valeur_141</vt:lpstr>
      <vt:lpstr>synthese!Valeur_142</vt:lpstr>
      <vt:lpstr>Valeur_142</vt:lpstr>
      <vt:lpstr>Valeur_143</vt:lpstr>
      <vt:lpstr>Valeur_144</vt:lpstr>
      <vt:lpstr>Valeur_150A</vt:lpstr>
      <vt:lpstr>Valeur_150B</vt:lpstr>
      <vt:lpstr>Valeur_151A</vt:lpstr>
      <vt:lpstr>Valeur_151B</vt:lpstr>
      <vt:lpstr>Valeur_151C</vt:lpstr>
      <vt:lpstr>Valeur_152A</vt:lpstr>
      <vt:lpstr>Valeur_152B</vt:lpstr>
      <vt:lpstr>Valeur_153</vt:lpstr>
      <vt:lpstr>Valeur_154</vt:lpstr>
      <vt:lpstr>Valeur_155</vt:lpstr>
      <vt:lpstr>Valeur_156</vt:lpstr>
      <vt:lpstr>Valeur_157</vt:lpstr>
      <vt:lpstr>Valeur_161A</vt:lpstr>
      <vt:lpstr>Valeur_161B</vt:lpstr>
      <vt:lpstr>Valeur_171</vt:lpstr>
      <vt:lpstr>Valeur_211A</vt:lpstr>
      <vt:lpstr>Valeur_211B</vt:lpstr>
      <vt:lpstr>Valeur_211C</vt:lpstr>
      <vt:lpstr>Valeur_212A</vt:lpstr>
      <vt:lpstr>Valeur_212B</vt:lpstr>
      <vt:lpstr>Valeur_212C</vt:lpstr>
      <vt:lpstr>Valeur_213A</vt:lpstr>
      <vt:lpstr>Valeur_213B</vt:lpstr>
      <vt:lpstr>Valeur_213C</vt:lpstr>
      <vt:lpstr>Valeur_214</vt:lpstr>
      <vt:lpstr>Valeur_215</vt:lpstr>
      <vt:lpstr>Valeur_216</vt:lpstr>
      <vt:lpstr>Valeur_217A</vt:lpstr>
      <vt:lpstr>Valeur_217B</vt:lpstr>
      <vt:lpstr>Valeur_221</vt:lpstr>
      <vt:lpstr>Valeur_222</vt:lpstr>
      <vt:lpstr>Valeur_223A</vt:lpstr>
      <vt:lpstr>Valeur_223B</vt:lpstr>
      <vt:lpstr>Valeur_223C</vt:lpstr>
      <vt:lpstr>Valeur_224</vt:lpstr>
      <vt:lpstr>Valeur_226A</vt:lpstr>
      <vt:lpstr>Valeur_226B</vt:lpstr>
      <vt:lpstr>Valeur_226C</vt:lpstr>
      <vt:lpstr>Valeur_231</vt:lpstr>
      <vt:lpstr>Valeur_311</vt:lpstr>
      <vt:lpstr>Valeur_321</vt:lpstr>
      <vt:lpstr>Valeur_331</vt:lpstr>
      <vt:lpstr>'IND 3.4.4'!Valeur_343</vt:lpstr>
      <vt:lpstr>Valeur_344</vt:lpstr>
      <vt:lpstr>Valeur_411</vt:lpstr>
      <vt:lpstr>Valeur_412</vt:lpstr>
      <vt:lpstr>Valeur_413</vt:lpstr>
      <vt:lpstr>Valeur_421B</vt:lpstr>
      <vt:lpstr>Valeur_421C</vt:lpstr>
      <vt:lpstr>Valeur_422</vt:lpstr>
      <vt:lpstr>Valeur_423</vt:lpstr>
      <vt:lpstr>Valeur_424</vt:lpstr>
      <vt:lpstr>Valeur_431A</vt:lpstr>
      <vt:lpstr>Valeur_431B</vt:lpstr>
      <vt:lpstr>Valeur_431C</vt:lpstr>
      <vt:lpstr>Valeur_431D</vt:lpstr>
      <vt:lpstr>Valeur_511A</vt:lpstr>
      <vt:lpstr>Valeur_511B</vt:lpstr>
      <vt:lpstr>Valeur_511C</vt:lpstr>
      <vt:lpstr>Valeur_511D</vt:lpstr>
      <vt:lpstr>Valeur_511E</vt:lpstr>
      <vt:lpstr>Valeur_512A</vt:lpstr>
      <vt:lpstr>Valeur_512B</vt:lpstr>
      <vt:lpstr>Valeur_512C</vt:lpstr>
      <vt:lpstr>Valeur_513</vt:lpstr>
      <vt:lpstr>Valeur_514</vt:lpstr>
      <vt:lpstr>Valeur_612</vt:lpstr>
      <vt:lpstr>Valeur_613</vt:lpstr>
      <vt:lpstr>Valeur_614A</vt:lpstr>
      <vt:lpstr>Valeur_614B</vt:lpstr>
      <vt:lpstr>Valeur_614C</vt:lpstr>
      <vt:lpstr>Valeur_614D</vt:lpstr>
      <vt:lpstr>Valeur_714A</vt:lpstr>
      <vt:lpstr>Valeur_714B</vt:lpstr>
      <vt:lpstr>Valeur_810A</vt:lpstr>
      <vt:lpstr>Valeur_810B</vt:lpstr>
      <vt:lpstr>A_LIRE!Zone_d_impression</vt:lpstr>
      <vt:lpstr>'Fiche 1.1.0'!Zone_d_impression</vt:lpstr>
      <vt:lpstr>'Fiche 1.1.1'!Zone_d_impression</vt:lpstr>
      <vt:lpstr>'Fiche 1.1.2'!Zone_d_impression</vt:lpstr>
      <vt:lpstr>'Fiche 1.1.3'!Zone_d_impression</vt:lpstr>
      <vt:lpstr>'Fiche 1.2.1'!Zone_d_impression</vt:lpstr>
      <vt:lpstr>'Fiche 1.2.2'!Zone_d_impression</vt:lpstr>
      <vt:lpstr>'Fiche 1.2.3'!Zone_d_impression</vt:lpstr>
      <vt:lpstr>'Fiche 1.3.1-1.3.2'!Zone_d_impression</vt:lpstr>
      <vt:lpstr>'Fiche 1.4.1-1.4.4'!Zone_d_impression</vt:lpstr>
      <vt:lpstr>'Fiche 1.5.0'!Zone_d_impression</vt:lpstr>
      <vt:lpstr>'Fiche 1.5.1'!Zone_d_impression</vt:lpstr>
      <vt:lpstr>'Fiche 1.5.2'!Zone_d_impression</vt:lpstr>
      <vt:lpstr>'Fiche 1.5.3'!Zone_d_impression</vt:lpstr>
      <vt:lpstr>'Fiche 1.5.4-1.5.7'!Zone_d_impression</vt:lpstr>
      <vt:lpstr>'Fiche 1.6.1-1.6.2'!Zone_d_impression</vt:lpstr>
      <vt:lpstr>'Fiche 2.1.0'!Zone_d_impression</vt:lpstr>
      <vt:lpstr>'Fiche 2.2.1-2.2.7'!Zone_d_impression</vt:lpstr>
      <vt:lpstr>'Fiche 3.1.1-3.4.3'!Zone_d_impression</vt:lpstr>
      <vt:lpstr>'Fiche 4.1.4-4.1.6'!Zone_d_impression</vt:lpstr>
      <vt:lpstr>'Fiche 5.1.1-5.1.4'!Zone_d_impression</vt:lpstr>
      <vt:lpstr>'Fiche 6.1.4'!Zone_d_impression</vt:lpstr>
      <vt:lpstr>'Fiche 7.1.1-7.1.4'!Zone_d_impression</vt:lpstr>
      <vt:lpstr>'IND 1.1.0'!Zone_d_impression</vt:lpstr>
      <vt:lpstr>'IND 1.1.1'!Zone_d_impression</vt:lpstr>
      <vt:lpstr>'IND 1.1.2'!Zone_d_impression</vt:lpstr>
      <vt:lpstr>'IND 1.1.3'!Zone_d_impression</vt:lpstr>
      <vt:lpstr>'IND 1.1.4'!Zone_d_impression</vt:lpstr>
      <vt:lpstr>'IND 1.2.1'!Zone_d_impression</vt:lpstr>
      <vt:lpstr>'IND 1.2.2'!Zone_d_impression</vt:lpstr>
      <vt:lpstr>'IND 1.2.3'!Zone_d_impression</vt:lpstr>
      <vt:lpstr>'IND 1.2.4'!Zone_d_impression</vt:lpstr>
      <vt:lpstr>'IND 1.3.1'!Zone_d_impression</vt:lpstr>
      <vt:lpstr>'IND 1.3.2'!Zone_d_impression</vt:lpstr>
      <vt:lpstr>'IND 1.4.1-1.4.4'!Zone_d_impression</vt:lpstr>
      <vt:lpstr>'IND 1.5.0'!Zone_d_impression</vt:lpstr>
      <vt:lpstr>'IND 1.5.1'!Zone_d_impression</vt:lpstr>
      <vt:lpstr>'IND 1.5.2'!Zone_d_impression</vt:lpstr>
      <vt:lpstr>'IND 1.5.3'!Zone_d_impression</vt:lpstr>
      <vt:lpstr>'IND 1.5.4-1.5.5'!Zone_d_impression</vt:lpstr>
      <vt:lpstr>'IND 1.5.6'!Zone_d_impression</vt:lpstr>
      <vt:lpstr>'IND 1.5.7'!Zone_d_impression</vt:lpstr>
      <vt:lpstr>'IND 1.6.1'!Zone_d_impression</vt:lpstr>
      <vt:lpstr>'IND 1.6.2'!Zone_d_impression</vt:lpstr>
      <vt:lpstr>'IND 1.7.1'!Zone_d_impression</vt:lpstr>
      <vt:lpstr>'IND 2.1.0'!Zone_d_impression</vt:lpstr>
      <vt:lpstr>'IND 2.1.1'!Zone_d_impression</vt:lpstr>
      <vt:lpstr>'IND 2.1.2'!Zone_d_impression</vt:lpstr>
      <vt:lpstr>'IND 2.1.3'!Zone_d_impression</vt:lpstr>
      <vt:lpstr>'IND 2.1.4-2.1.6'!Zone_d_impression</vt:lpstr>
      <vt:lpstr>'IND 2.1.7'!Zone_d_impression</vt:lpstr>
      <vt:lpstr>'IND 2.2.1-2.2.4'!Zone_d_impression</vt:lpstr>
      <vt:lpstr>'IND 2.2.5'!Zone_d_impression</vt:lpstr>
      <vt:lpstr>'IND 2.2.6'!Zone_d_impression</vt:lpstr>
      <vt:lpstr>'IND 2.2.7'!Zone_d_impression</vt:lpstr>
      <vt:lpstr>'IND 2.3.1'!Zone_d_impression</vt:lpstr>
      <vt:lpstr>'IND 3.1.1-3.4.3'!Zone_d_impression</vt:lpstr>
      <vt:lpstr>'IND 3.4.4'!Zone_d_impression</vt:lpstr>
      <vt:lpstr>'IND 3.4.5'!Zone_d_impression</vt:lpstr>
      <vt:lpstr>'IND 4.1.1-4.1.2'!Zone_d_impression</vt:lpstr>
      <vt:lpstr>'IND 4.1.3'!Zone_d_impression</vt:lpstr>
      <vt:lpstr>'IND 4.1.4-4.1.7'!Zone_d_impression</vt:lpstr>
      <vt:lpstr>'IND 4.2.1'!Zone_d_impression</vt:lpstr>
      <vt:lpstr>'IND 4.2.2'!Zone_d_impression</vt:lpstr>
      <vt:lpstr>'IND 4.2.3'!Zone_d_impression</vt:lpstr>
      <vt:lpstr>'IND 4.2.4'!Zone_d_impression</vt:lpstr>
      <vt:lpstr>'IND 4.2.5'!Zone_d_impression</vt:lpstr>
      <vt:lpstr>'IND 4.3.1'!Zone_d_impression</vt:lpstr>
      <vt:lpstr>'IND 5.1.1'!Zone_d_impression</vt:lpstr>
      <vt:lpstr>'IND 5.1.2'!Zone_d_impression</vt:lpstr>
      <vt:lpstr>'IND 5.1.3'!Zone_d_impression</vt:lpstr>
      <vt:lpstr>'IND 5.1.4'!Zone_d_impression</vt:lpstr>
      <vt:lpstr>'IND 6.1.1-6.1.3'!Zone_d_impression</vt:lpstr>
      <vt:lpstr>'IND 6.1.4'!Zone_d_impression</vt:lpstr>
      <vt:lpstr>'IND 7.1.1-7.1.3'!Zone_d_impression</vt:lpstr>
      <vt:lpstr>'IND 7.1.4'!Zone_d_impression</vt:lpstr>
      <vt:lpstr>'IND 8.1.0'!Zone_d_impression</vt:lpstr>
      <vt:lpstr>Messages_controles!Zone_d_impression</vt:lpstr>
      <vt:lpstr>Sommaire!Zone_d_impression</vt:lpstr>
      <vt:lpstr>synthese!Zone_d_impression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DGCL</dc:creator>
  <cp:lastModifiedBy>m125352</cp:lastModifiedBy>
  <cp:lastPrinted>2021-11-17T13:50:37Z</cp:lastPrinted>
  <dcterms:created xsi:type="dcterms:W3CDTF">2017-06-29T09:27:46Z</dcterms:created>
  <dcterms:modified xsi:type="dcterms:W3CDTF">2025-05-20T11:42:15Z</dcterms:modified>
</cp:coreProperties>
</file>